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65" windowHeight="8880" activeTab="0"/>
  </bookViews>
  <sheets>
    <sheet name="WALUVAL3" sheetId="1" r:id="rId1"/>
    <sheet name="Framed" sheetId="2" r:id="rId2"/>
    <sheet name="k-Value outerleaf" sheetId="3" r:id="rId3"/>
    <sheet name="k-value inner leaf" sheetId="4" r:id="rId4"/>
    <sheet name="Help" sheetId="5" r:id="rId5"/>
  </sheets>
  <definedNames>
    <definedName name="_E13_">'WALUVAL3'!$F$54</definedName>
    <definedName name="_E26_">'WALUVAL3'!$G$90</definedName>
    <definedName name="_E28_">'WALUVAL3'!$G$93</definedName>
    <definedName name="_E29_">'WALUVAL3'!$G$94</definedName>
    <definedName name="_E30_">'WALUVAL3'!$G$102</definedName>
    <definedName name="_E31_">'WALUVAL3'!#REF!</definedName>
    <definedName name="_E33_">'WALUVAL3'!#REF!</definedName>
    <definedName name="_E34_">'WALUVAL3'!#REF!</definedName>
    <definedName name="_E35_">'WALUVAL3'!$G$106</definedName>
    <definedName name="_E36_">'WALUVAL3'!$G$107</definedName>
    <definedName name="_E38_">'WALUVAL3'!$G$110</definedName>
    <definedName name="_E39_">'WALUVAL3'!#REF!</definedName>
    <definedName name="_E40_">'WALUVAL3'!$DP$1721</definedName>
    <definedName name="_E41_">'WALUVAL3'!#REF!</definedName>
    <definedName name="_E42_">'WALUVAL3'!#REF!</definedName>
    <definedName name="_E43_">'WALUVAL3'!$G$114</definedName>
    <definedName name="_E44_">'WALUVAL3'!$G$115</definedName>
    <definedName name="_E45_">'WALUVAL3'!$G$116</definedName>
    <definedName name="_E47_">'WALUVAL3'!$L$120</definedName>
    <definedName name="_E48_">'WALUVAL3'!$L$121</definedName>
    <definedName name="_E54_">'WALUVAL3'!$G$129</definedName>
    <definedName name="_E55_">'WALUVAL3'!$G$130</definedName>
    <definedName name="_E57_">'WALUVAL3'!$G$133</definedName>
    <definedName name="_E58_">'WALUVAL3'!$G$134</definedName>
    <definedName name="_E59_">'WALUVAL3'!$G$135</definedName>
    <definedName name="_E68_">'WALUVAL3'!$G$147</definedName>
    <definedName name="ACwvu.noprset." localSheetId="2" hidden="1">'k-Value outerleaf'!$I$5</definedName>
    <definedName name="EXTR">'WALUVAL3'!$G$81</definedName>
    <definedName name="G_ý_P__">'WALUVAL3'!$G$81</definedName>
    <definedName name="gW">'WALUVAL3'!$G$81</definedName>
    <definedName name="Instructions">'WALUVAL3'!$B$53</definedName>
    <definedName name="INTR">'WALUVAL3'!$G$86</definedName>
    <definedName name="_xlnm.Print_Area" localSheetId="4">'Help'!$A$1:$I$60</definedName>
    <definedName name="_xlnm.Print_Area" localSheetId="0">'WALUVAL3'!$A$1:$L$52</definedName>
    <definedName name="Print_Area_MI" localSheetId="0">'WALUVAL3'!$A$1:$G$187</definedName>
    <definedName name="RESIST">'WALUVAL3'!$D$74</definedName>
    <definedName name="Rwvu.noprset." localSheetId="2" hidden="1">'k-Value outerleaf'!$C:$D</definedName>
    <definedName name="START">'WALUVAL3'!$C$89</definedName>
    <definedName name="Swvu.noprset." localSheetId="2" hidden="1">'k-Value outerleaf'!$I$5</definedName>
    <definedName name="wvu.noprset." localSheetId="2" hidden="1">{FALSE,TRUE,0.4,-15.8,615.6,375.6,FALSE,TRUE,TRUE,TRUE,0,1,#N/A,1,#N/A,8.5875,22.863636363636363,1,FALSE,FALSE,3,TRUE,1,FALSE,100,"Swvu.noprset.","ACwvu.noprset.",#N/A,FALSE,FALSE,0.75,0.75,1,1,1,"&amp;A","Page &amp;P",FALSE,FALSE,FALSE,FALSE,1,100,#N/A,#N/A,FALSE,FALSE,"Rwvu.noprset.",#N/A,FALSE,FALSE,TRUE,9,360,360,FALSE,FALSE,TRUE,TRUE,TRUE}</definedName>
    <definedName name="Z_62B67947_7385_11D8_AEE0_FCFAD359AE38_.wvu.Cols" localSheetId="2" hidden="1">'k-Value outerleaf'!$C:$D</definedName>
    <definedName name="Z_62B67948_7385_11D8_AEE0_FCFAD359AE38_.wvu.Cols" localSheetId="2" hidden="1">'k-Value outerleaf'!$C:$D</definedName>
  </definedNames>
  <calcPr fullCalcOnLoad="1"/>
</workbook>
</file>

<file path=xl/sharedStrings.xml><?xml version="1.0" encoding="utf-8"?>
<sst xmlns="http://schemas.openxmlformats.org/spreadsheetml/2006/main" count="335" uniqueCount="262">
  <si>
    <t>Framed Construction</t>
  </si>
  <si>
    <t>To calculate the pecentage proportion of timber against insulated space in a</t>
  </si>
  <si>
    <t>timber frame wall or stud partition or strapped wall</t>
  </si>
  <si>
    <t>The calculation is based on a wall length of 1200 mm and a wall height of 2400mm</t>
  </si>
  <si>
    <t>10% is added to the area of the studs to cover 'end' studs.#</t>
  </si>
  <si>
    <t>Timber</t>
  </si>
  <si>
    <t>Insulation</t>
  </si>
  <si>
    <t>Note, the</t>
  </si>
  <si>
    <t>The % =</t>
  </si>
  <si>
    <t>default</t>
  </si>
  <si>
    <t>settings</t>
  </si>
  <si>
    <t>Give the following information   -  put the answer in place of the default figures shown</t>
  </si>
  <si>
    <t>in Col F</t>
  </si>
  <si>
    <t>in the boxes in column F</t>
  </si>
  <si>
    <t>are:</t>
  </si>
  <si>
    <r>
      <t>Are top and bottom runners</t>
    </r>
    <r>
      <rPr>
        <sz val="10"/>
        <rFont val="Arial"/>
        <family val="2"/>
      </rPr>
      <t xml:space="preserve"> </t>
    </r>
    <r>
      <rPr>
        <i/>
        <sz val="10"/>
        <rFont val="Arial"/>
        <family val="0"/>
      </rPr>
      <t xml:space="preserve"> '</t>
    </r>
    <r>
      <rPr>
        <b/>
        <i/>
        <sz val="10"/>
        <color indexed="10"/>
        <rFont val="Arial"/>
        <family val="0"/>
      </rPr>
      <t>single'</t>
    </r>
    <r>
      <rPr>
        <i/>
        <sz val="10"/>
        <color indexed="12"/>
        <rFont val="Arial"/>
        <family val="2"/>
      </rPr>
      <t xml:space="preserve"> or</t>
    </r>
    <r>
      <rPr>
        <sz val="10"/>
        <rFont val="Arial"/>
        <family val="2"/>
      </rPr>
      <t xml:space="preserve"> '</t>
    </r>
    <r>
      <rPr>
        <b/>
        <i/>
        <sz val="10"/>
        <color indexed="10"/>
        <rFont val="Arial"/>
        <family val="0"/>
      </rPr>
      <t>double'</t>
    </r>
  </si>
  <si>
    <t>single</t>
  </si>
  <si>
    <t>Calculations</t>
  </si>
  <si>
    <t xml:space="preserve">Give the width of the face in mm of the following timbers to which the </t>
  </si>
  <si>
    <t>wall board or lining is applied as well as other infomation requested</t>
  </si>
  <si>
    <t>sq. metres</t>
  </si>
  <si>
    <t>Top and bottom runners</t>
  </si>
  <si>
    <t>Studs</t>
  </si>
  <si>
    <t>Centres of studs</t>
  </si>
  <si>
    <t>Dwangs</t>
  </si>
  <si>
    <t>No. of rows of dwangs</t>
  </si>
  <si>
    <t>To use the spreadsheet for similar calculations on joisted floors put zeros against runners</t>
  </si>
  <si>
    <t>and dwangs and only enter the width and centres of the joists against 'Studs' &amp; 'Centres of studs'.</t>
  </si>
  <si>
    <t>If there is not a studded or strapped inner face, make sure that the default settings in Column F</t>
  </si>
  <si>
    <t xml:space="preserve">are as shown in Column I, otherwise there will be a #VALUE! shown which will stop the spreadsheet </t>
  </si>
  <si>
    <t>calculating out the correct U-value</t>
  </si>
  <si>
    <t xml:space="preserve">For an explanation of this percentage addition see 'Estimating for Builders and Quantity Surveyors' </t>
  </si>
  <si>
    <t>by Buchan, Fleming and Kelly, published by Butterworth-Heinemann.</t>
  </si>
  <si>
    <t>The chapter on Woodwork, Carpentry - first fixings refers.</t>
  </si>
  <si>
    <t>Help.</t>
  </si>
  <si>
    <t>This Help page can be printed out.  It is set up for A4 paper.</t>
  </si>
  <si>
    <r>
      <t>Emissivity</t>
    </r>
    <r>
      <rPr>
        <i/>
        <sz val="10"/>
        <color indexed="12"/>
        <rFont val="Arial"/>
        <family val="2"/>
      </rPr>
      <t>:  A measure of how well a surface will allow heat to pass to the air.</t>
    </r>
  </si>
  <si>
    <r>
      <t xml:space="preserve">Rough textured, dark surfaces have a </t>
    </r>
    <r>
      <rPr>
        <b/>
        <i/>
        <sz val="10"/>
        <color indexed="12"/>
        <rFont val="Arial"/>
        <family val="0"/>
      </rPr>
      <t>high emissivity</t>
    </r>
    <r>
      <rPr>
        <i/>
        <sz val="10"/>
        <color indexed="12"/>
        <rFont val="Arial"/>
        <family val="2"/>
      </rPr>
      <t xml:space="preserve">,   Smooth, light </t>
    </r>
  </si>
  <si>
    <r>
      <t>Exposure</t>
    </r>
    <r>
      <rPr>
        <i/>
        <sz val="10"/>
        <color indexed="12"/>
        <rFont val="Arial"/>
        <family val="2"/>
      </rPr>
      <t xml:space="preserve"> is categorised as </t>
    </r>
    <r>
      <rPr>
        <b/>
        <i/>
        <sz val="10"/>
        <color indexed="12"/>
        <rFont val="Arial"/>
        <family val="0"/>
      </rPr>
      <t>sheltered, normal or severe</t>
    </r>
    <r>
      <rPr>
        <i/>
        <sz val="10"/>
        <color indexed="12"/>
        <rFont val="Arial"/>
        <family val="2"/>
      </rPr>
      <t>.  Choose the most</t>
    </r>
  </si>
  <si>
    <t>appropriate for the site on which the building is to be built.   It is perfectly</t>
  </si>
  <si>
    <t>feasible to calculate different U-values for walls of different orientation</t>
  </si>
  <si>
    <t>if that makes a difference to their individual exposure.   Try the same</t>
  </si>
  <si>
    <t xml:space="preserve">construction and vary the external exposure to determine the effect before </t>
  </si>
  <si>
    <t>you decide to do it for all your jobs!</t>
  </si>
  <si>
    <r>
      <t>ERROR</t>
    </r>
    <r>
      <rPr>
        <i/>
        <sz val="10"/>
        <color indexed="12"/>
        <rFont val="Arial"/>
        <family val="2"/>
      </rPr>
      <t xml:space="preserve"> messages are displayed wherever possible.</t>
    </r>
  </si>
  <si>
    <t xml:space="preserve">The first two error messages appear if you have not restricted your choice of external and </t>
  </si>
  <si>
    <t xml:space="preserve">internal surface resistances to one of each.   Try it - but remember to correct it </t>
  </si>
  <si>
    <r>
      <t>and you will then get the</t>
    </r>
    <r>
      <rPr>
        <b/>
        <i/>
        <sz val="10"/>
        <color indexed="12"/>
        <rFont val="Arial"/>
        <family val="0"/>
      </rPr>
      <t xml:space="preserve"> OK</t>
    </r>
    <r>
      <rPr>
        <i/>
        <sz val="10"/>
        <color indexed="12"/>
        <rFont val="Arial"/>
        <family val="2"/>
      </rPr>
      <t xml:space="preserve"> message.</t>
    </r>
  </si>
  <si>
    <t>The ERROR message on the k-value sheet occurs when there has been no selection of a masonry</t>
  </si>
  <si>
    <t>material or more than one has been selected.    Check carefully!   The correct heading for the</t>
  </si>
  <si>
    <t>Main cavities in masonry walls</t>
  </si>
  <si>
    <r>
      <t xml:space="preserve">If the cavity is </t>
    </r>
    <r>
      <rPr>
        <b/>
        <i/>
        <sz val="10"/>
        <color indexed="12"/>
        <rFont val="Arial"/>
        <family val="0"/>
      </rPr>
      <t>partially filled</t>
    </r>
    <r>
      <rPr>
        <i/>
        <sz val="10"/>
        <color indexed="12"/>
        <rFont val="Arial"/>
        <family val="2"/>
      </rPr>
      <t xml:space="preserve"> with insulation, choose a </t>
    </r>
    <r>
      <rPr>
        <b/>
        <i/>
        <sz val="10"/>
        <color indexed="12"/>
        <rFont val="Arial"/>
        <family val="0"/>
      </rPr>
      <t xml:space="preserve">low emissivity </t>
    </r>
    <r>
      <rPr>
        <i/>
        <sz val="10"/>
        <color indexed="12"/>
        <rFont val="Arial"/>
        <family val="2"/>
      </rPr>
      <t xml:space="preserve">cavity </t>
    </r>
    <r>
      <rPr>
        <b/>
        <i/>
        <sz val="10"/>
        <color indexed="12"/>
        <rFont val="Arial"/>
        <family val="0"/>
      </rPr>
      <t>AND</t>
    </r>
  </si>
  <si>
    <t>enter the thickness of the appropriate insulation in the succeeding rows.</t>
  </si>
  <si>
    <r>
      <t>Studded/strapped walls:</t>
    </r>
    <r>
      <rPr>
        <i/>
        <sz val="10"/>
        <color indexed="12"/>
        <rFont val="Arial"/>
        <family val="2"/>
      </rPr>
      <t xml:space="preserve">   If you have a timber studded wall or a wall which is </t>
    </r>
  </si>
  <si>
    <t>strapped, the void between the outer sheathing and the inner lining of</t>
  </si>
  <si>
    <t xml:space="preserve">the studding or strapping can be treated just as a complete void with the </t>
  </si>
  <si>
    <t>appropriate 'R' for the void OR it can be treated as part void and part</t>
  </si>
  <si>
    <t>solid timber.   If there is a lot of timber this can significantly</t>
  </si>
  <si>
    <t>reduce the final U-value.    For example 50 mm wide timbers at 400 mm centres,</t>
  </si>
  <si>
    <t>a sole plate top and bottom, top and bottom runners and two rows of</t>
  </si>
  <si>
    <t>dwangs, the proportion of timber in a square metre of wall 2.40 metres</t>
  </si>
  <si>
    <t>high is 25%.</t>
  </si>
  <si>
    <t>The remainder -75% - is entered against whatever there is between the</t>
  </si>
  <si>
    <t xml:space="preserve">If you switch to the 'Framed' sheet  the correct percentages are calculated </t>
  </si>
  <si>
    <t>&amp; entered in column B as appropriate.</t>
  </si>
  <si>
    <r>
      <t>k' Values</t>
    </r>
    <r>
      <rPr>
        <i/>
        <sz val="10"/>
        <color indexed="12"/>
        <rFont val="Arial"/>
        <family val="0"/>
      </rPr>
      <t xml:space="preserve"> for Masonry materials vary with the moisture content and bulk density of the material. </t>
    </r>
  </si>
  <si>
    <t>The Sheet called 'k-Value' has a table of Brick and Concrete of various bulk densities listed together</t>
  </si>
  <si>
    <t xml:space="preserve">with their individual 'k'; values at two moisture contents described as 'Protected' and 'Exposed'. </t>
  </si>
  <si>
    <t xml:space="preserve">The MCs for Protected and Exposed Stone and Brickwork are 1% and 5% by volume respectively </t>
  </si>
  <si>
    <r>
      <t>'Protected' masonry</t>
    </r>
    <r>
      <rPr>
        <i/>
        <sz val="10"/>
        <color indexed="12"/>
        <rFont val="Arial"/>
        <family val="0"/>
      </rPr>
      <t xml:space="preserve"> is defined by CIBSE as being internal walls, inner leaves of cavity walls or </t>
    </r>
  </si>
  <si>
    <t>external walls covered with tile hanging or some similar rainproof 'screening'.</t>
  </si>
  <si>
    <t xml:space="preserve"> covered with a render providing the render does not have water repellant or waterproof admixtures.</t>
  </si>
  <si>
    <t xml:space="preserve">   Even with these it would be prudent to treat the wall as exposed.</t>
  </si>
  <si>
    <t xml:space="preserve">Select' a k value from the k-Value sheet for the correct bulk density and type of exposure </t>
  </si>
  <si>
    <t xml:space="preserve">for the stone, brick or block used in the outer layer of the wall and that value(s) will </t>
  </si>
  <si>
    <t>be transferred automatically to the WALLUVAL sheet.</t>
  </si>
  <si>
    <t>The k value for the render is  treated as 'exposed'.</t>
  </si>
  <si>
    <r>
      <t xml:space="preserve">Also see </t>
    </r>
    <r>
      <rPr>
        <b/>
        <i/>
        <sz val="10"/>
        <color indexed="12"/>
        <rFont val="Arial"/>
        <family val="0"/>
      </rPr>
      <t>'ERRORS'</t>
    </r>
    <r>
      <rPr>
        <i/>
        <sz val="10"/>
        <color indexed="12"/>
        <rFont val="Arial"/>
        <family val="0"/>
      </rPr>
      <t xml:space="preserve"> above.</t>
    </r>
  </si>
  <si>
    <t>Material and standard MC (% by volume)</t>
  </si>
  <si>
    <t>Bulk Dry Density   kg/m3</t>
  </si>
  <si>
    <t>Thermal Conductivity  W/m2oC</t>
  </si>
  <si>
    <t>Protected</t>
  </si>
  <si>
    <t>Exposed</t>
  </si>
  <si>
    <t>SELECTED</t>
  </si>
  <si>
    <t>Hints on materials by bulk density</t>
  </si>
  <si>
    <t xml:space="preserve">Concrete blocks of all </t>
  </si>
  <si>
    <t xml:space="preserve">types except hollow </t>
  </si>
  <si>
    <t>Protected - 3% MC  **</t>
  </si>
  <si>
    <t>Exposed   - 5% MC  **</t>
  </si>
  <si>
    <t>To WALLUVAL</t>
  </si>
  <si>
    <t>Thermal Conductivity       W/m2oC</t>
  </si>
  <si>
    <t>Brickwork including the</t>
  </si>
  <si>
    <t>mortar joints</t>
  </si>
  <si>
    <t>Protected - 1% MC</t>
  </si>
  <si>
    <t>Exposed   - 5% MC</t>
  </si>
  <si>
    <t xml:space="preserve">  Sandstone</t>
  </si>
  <si>
    <t>Marble</t>
  </si>
  <si>
    <t>Slate</t>
  </si>
  <si>
    <t xml:space="preserve">  Limestone</t>
  </si>
  <si>
    <t xml:space="preserve">  Granite</t>
  </si>
  <si>
    <t xml:space="preserve">  Artificial</t>
  </si>
  <si>
    <t>Most usual bulk density of artificial stone</t>
  </si>
  <si>
    <t>U-Value Calculation</t>
  </si>
  <si>
    <t xml:space="preserve">            Wall</t>
  </si>
  <si>
    <t xml:space="preserve">   Steady State</t>
  </si>
  <si>
    <t>W/m2/K</t>
  </si>
  <si>
    <t>Select the external and internal surface emissivities from the columns</t>
  </si>
  <si>
    <t>below.    Then proceed to enter thicknesses for the wall</t>
  </si>
  <si>
    <t>construction.   For cavities and voids CHOOSE by entering a 1.</t>
  </si>
  <si>
    <t>Printing on A4 size paper has already been set up for all sheets</t>
  </si>
  <si>
    <t>by F. W.Fleming FRICS</t>
  </si>
  <si>
    <t>Selection of External Surface Resistance</t>
  </si>
  <si>
    <t>Select in column D by entering a '1'</t>
  </si>
  <si>
    <t>High Emissivity**</t>
  </si>
  <si>
    <t>'R'</t>
  </si>
  <si>
    <t xml:space="preserve">          Sheltered**</t>
  </si>
  <si>
    <t>You must choose both</t>
  </si>
  <si>
    <t xml:space="preserve">          Normal**</t>
  </si>
  <si>
    <t>internal &amp; external</t>
  </si>
  <si>
    <t xml:space="preserve">          Severe**</t>
  </si>
  <si>
    <t>emissivities</t>
  </si>
  <si>
    <t>Low Emissivity:**</t>
  </si>
  <si>
    <t>Do not choose more</t>
  </si>
  <si>
    <t xml:space="preserve">          Sheltered</t>
  </si>
  <si>
    <t>than one of each</t>
  </si>
  <si>
    <t xml:space="preserve">          Normal</t>
  </si>
  <si>
    <t xml:space="preserve">          Severe</t>
  </si>
  <si>
    <t>Selection of Internal Surface Resistance</t>
  </si>
  <si>
    <t>High Emissivity</t>
  </si>
  <si>
    <t>Low Emissivity</t>
  </si>
  <si>
    <t>Thickness</t>
  </si>
  <si>
    <r>
      <t xml:space="preserve">  'k' ** </t>
    </r>
    <r>
      <rPr>
        <b/>
        <sz val="6"/>
        <color indexed="8"/>
        <rFont val="Arial"/>
        <family val="2"/>
      </rPr>
      <t>See</t>
    </r>
  </si>
  <si>
    <t xml:space="preserve">   'Component'</t>
  </si>
  <si>
    <r>
      <t>'l'</t>
    </r>
    <r>
      <rPr>
        <b/>
        <sz val="10"/>
        <color indexed="8"/>
        <rFont val="Arial"/>
        <family val="2"/>
      </rPr>
      <t xml:space="preserve"> in mm</t>
    </r>
  </si>
  <si>
    <t>Sheet 'k value'</t>
  </si>
  <si>
    <t xml:space="preserve">  'R'</t>
  </si>
  <si>
    <t xml:space="preserve">       Comment</t>
  </si>
  <si>
    <t xml:space="preserve">                External resistance</t>
  </si>
  <si>
    <t>From above</t>
  </si>
  <si>
    <t>Start at outside of wall</t>
  </si>
  <si>
    <t>External Wall finishes</t>
  </si>
  <si>
    <t>Cement renders</t>
  </si>
  <si>
    <t>Cem/lime renders</t>
  </si>
  <si>
    <t>Tile hanging</t>
  </si>
  <si>
    <t>Felt/membrane backing</t>
  </si>
  <si>
    <t>Outer leaves of masonry:</t>
  </si>
  <si>
    <t>Select from the</t>
  </si>
  <si>
    <t>Cavities:</t>
  </si>
  <si>
    <t>Choose a cavity by inserting a '1' in column C</t>
  </si>
  <si>
    <t>Cavity high emissivity**</t>
  </si>
  <si>
    <t>Choose! but not if</t>
  </si>
  <si>
    <t>Cavity low emissivity**</t>
  </si>
  <si>
    <r>
      <t xml:space="preserve">cavity is </t>
    </r>
    <r>
      <rPr>
        <b/>
        <sz val="10"/>
        <color indexed="12"/>
        <rFont val="Arial"/>
        <family val="0"/>
      </rPr>
      <t>fully</t>
    </r>
    <r>
      <rPr>
        <sz val="10"/>
        <color indexed="12"/>
        <rFont val="Arial"/>
        <family val="2"/>
      </rPr>
      <t xml:space="preserve"> insulated**</t>
    </r>
  </si>
  <si>
    <t>Continue putting thicknesses in now for the materials</t>
  </si>
  <si>
    <t>Cavity Insulation:</t>
  </si>
  <si>
    <t xml:space="preserve"> - fibreglass batt</t>
  </si>
  <si>
    <t xml:space="preserve"> - polystyrene b/bd</t>
  </si>
  <si>
    <t xml:space="preserve"> - polystyrene extr</t>
  </si>
  <si>
    <t xml:space="preserve"> - polystyrene beads</t>
  </si>
  <si>
    <t xml:space="preserve"> - blown rockwool</t>
  </si>
  <si>
    <t xml:space="preserve"> - polyurethane foam</t>
  </si>
  <si>
    <t>Inner leaves of masonry:</t>
  </si>
  <si>
    <t>Timber frame inner wall &amp; Dry lining:</t>
  </si>
  <si>
    <t>Plywood sheathing</t>
  </si>
  <si>
    <t>Use only if the wall</t>
  </si>
  <si>
    <t>is timber frame.</t>
  </si>
  <si>
    <t>Fibre board sheathing</t>
  </si>
  <si>
    <t xml:space="preserve">  Medium hard board</t>
  </si>
  <si>
    <t xml:space="preserve">  Standard hard board</t>
  </si>
  <si>
    <t>Void at dry lining</t>
  </si>
  <si>
    <t xml:space="preserve"> - low emissivity</t>
  </si>
  <si>
    <t>Choose but not if</t>
  </si>
  <si>
    <t xml:space="preserve"> - high emissivity</t>
  </si>
  <si>
    <t>void is insulated</t>
  </si>
  <si>
    <t>Void insulation -</t>
  </si>
  <si>
    <t>'k'</t>
  </si>
  <si>
    <t>Proportion of stud to</t>
  </si>
  <si>
    <t xml:space="preserve"> - fibreglass quilt</t>
  </si>
  <si>
    <t>insulation is copied into column</t>
  </si>
  <si>
    <t xml:space="preserve">B automatically from 'Framed' as </t>
  </si>
  <si>
    <t>a decimal.  Depth of timber in</t>
  </si>
  <si>
    <t>panel is put in column C for all</t>
  </si>
  <si>
    <t xml:space="preserve">Timber stud - </t>
  </si>
  <si>
    <t>materials used in the panel.</t>
  </si>
  <si>
    <t>Click on 'Framed' to work out</t>
  </si>
  <si>
    <t>stud/insulation proportions</t>
  </si>
  <si>
    <t>Plasterboard -</t>
  </si>
  <si>
    <t>See 'Help' sheet</t>
  </si>
  <si>
    <t>sole/runners</t>
  </si>
  <si>
    <t xml:space="preserve"> - plain</t>
  </si>
  <si>
    <t>studs</t>
  </si>
  <si>
    <t xml:space="preserve"> - foil backed</t>
  </si>
  <si>
    <t>Plaster - 'Carlite'</t>
  </si>
  <si>
    <t xml:space="preserve">        - 'Thistle'</t>
  </si>
  <si>
    <t>Say 25% of panel is timber,</t>
  </si>
  <si>
    <t xml:space="preserve">                    Inner resistance</t>
  </si>
  <si>
    <t>From top of sheet</t>
  </si>
  <si>
    <t>and 75% is either void or insulation</t>
  </si>
  <si>
    <t xml:space="preserve">      U-value of wall is</t>
  </si>
  <si>
    <t xml:space="preserve"> for hidden contents immediately above the column letters.</t>
  </si>
  <si>
    <t>To check for formulae place the cursor on the cell and check</t>
  </si>
  <si>
    <t>Wall Specification</t>
  </si>
  <si>
    <t>Instructions</t>
  </si>
  <si>
    <t>External Surface Resistance</t>
  </si>
  <si>
    <t>Internal Surface resistance</t>
  </si>
  <si>
    <t>Outer face</t>
  </si>
  <si>
    <t>Cavities</t>
  </si>
  <si>
    <t>Cavity insulation</t>
  </si>
  <si>
    <t>Inner leaves of masonry</t>
  </si>
  <si>
    <t>Outer leaves of masonry</t>
  </si>
  <si>
    <t>Timber frame inner wall Dry lining:</t>
  </si>
  <si>
    <t>OSB sheathing</t>
  </si>
  <si>
    <t>Internal finish</t>
  </si>
  <si>
    <t>START HERE</t>
  </si>
  <si>
    <t>Where  a box is provided, make an entry if the construction is appropriate.</t>
  </si>
  <si>
    <r>
      <t>Only</t>
    </r>
    <r>
      <rPr>
        <i/>
        <sz val="10"/>
        <color indexed="12"/>
        <rFont val="Arial"/>
        <family val="2"/>
      </rPr>
      <t xml:space="preserve"> make entries in the boxes </t>
    </r>
    <r>
      <rPr>
        <i/>
        <u val="single"/>
        <sz val="10"/>
        <color indexed="12"/>
        <rFont val="Arial"/>
        <family val="2"/>
      </rPr>
      <t>provided.</t>
    </r>
    <r>
      <rPr>
        <i/>
        <sz val="10"/>
        <color indexed="12"/>
        <rFont val="Arial"/>
        <family val="2"/>
      </rPr>
      <t xml:space="preserve">  Don't change cells with formulae. </t>
    </r>
  </si>
  <si>
    <t>Items marked ** have an entry on the Help sheet.</t>
  </si>
  <si>
    <t>Reset the print area to print out the remainder</t>
  </si>
  <si>
    <t>Enter Job Name then go to 'Instructions':</t>
  </si>
  <si>
    <t xml:space="preserve">     The U-value of the wall specified below is:</t>
  </si>
  <si>
    <t>and adjusts for relative amounts of studding and insulation in timber framed construction</t>
  </si>
  <si>
    <t>Thickness     mm</t>
  </si>
  <si>
    <t>Density       kg/m3</t>
  </si>
  <si>
    <t>Do not enter any data in the box below.   All data are generated automatically from the entries below</t>
  </si>
  <si>
    <r>
      <t xml:space="preserve">coloured surfaces have a </t>
    </r>
    <r>
      <rPr>
        <b/>
        <i/>
        <sz val="10"/>
        <color indexed="12"/>
        <rFont val="Arial"/>
        <family val="2"/>
      </rPr>
      <t>low emissivity.</t>
    </r>
  </si>
  <si>
    <r>
      <t>column is '</t>
    </r>
    <r>
      <rPr>
        <i/>
        <sz val="10"/>
        <color indexed="10"/>
        <rFont val="Arial"/>
        <family val="2"/>
      </rPr>
      <t>Thermal Conductivity. W/m2oC</t>
    </r>
    <r>
      <rPr>
        <i/>
        <sz val="10"/>
        <color indexed="12"/>
        <rFont val="Arial"/>
        <family val="2"/>
      </rPr>
      <t>'.</t>
    </r>
  </si>
  <si>
    <t>timbers.   This could be a high or low emissivity void or any one of the insulants.</t>
  </si>
  <si>
    <r>
      <t>'</t>
    </r>
    <r>
      <rPr>
        <b/>
        <i/>
        <sz val="10"/>
        <color indexed="12"/>
        <rFont val="Arial"/>
        <family val="0"/>
      </rPr>
      <t>Exposed'</t>
    </r>
    <r>
      <rPr>
        <i/>
        <sz val="10"/>
        <color indexed="12"/>
        <rFont val="Arial"/>
        <family val="0"/>
      </rPr>
      <t xml:space="preserve"> </t>
    </r>
    <r>
      <rPr>
        <b/>
        <i/>
        <sz val="10"/>
        <color indexed="12"/>
        <rFont val="Arial"/>
        <family val="2"/>
      </rPr>
      <t xml:space="preserve">masonry </t>
    </r>
    <r>
      <rPr>
        <i/>
        <sz val="10"/>
        <color indexed="12"/>
        <rFont val="Arial"/>
        <family val="0"/>
      </rPr>
      <t>is described as external walls exposed to rain etc. even when</t>
    </r>
  </si>
  <si>
    <r>
      <t xml:space="preserve">                                                                             </t>
    </r>
    <r>
      <rPr>
        <sz val="10"/>
        <rFont val="Arial"/>
        <family val="2"/>
      </rPr>
      <t>To see actual conductivities used open columns C &amp; D</t>
    </r>
  </si>
  <si>
    <t>blocks or a.a.c.</t>
  </si>
  <si>
    <t>Density        kg/m3</t>
  </si>
  <si>
    <t>For inner leaf CHOOSE Protected by entering a  '1'</t>
  </si>
  <si>
    <t>For outer leaf CHOOSE Exposed by entering a  '1'</t>
  </si>
  <si>
    <t xml:space="preserve"> and for Concrete are 3% and 5% respectively.    </t>
  </si>
  <si>
    <t xml:space="preserve"> Renders are treated as Brick or Stone.</t>
  </si>
  <si>
    <t>for artificial stone</t>
  </si>
  <si>
    <t>for natural stone</t>
  </si>
  <si>
    <t>Bullk Density kg/m3</t>
  </si>
  <si>
    <r>
      <t xml:space="preserve">Bricks - </t>
    </r>
    <r>
      <rPr>
        <sz val="9"/>
        <color indexed="8"/>
        <rFont val="Arial"/>
        <family val="2"/>
      </rPr>
      <t>See k-Value inner leaf sheet</t>
    </r>
  </si>
  <si>
    <r>
      <t xml:space="preserve">Concrete blocks - </t>
    </r>
    <r>
      <rPr>
        <sz val="9"/>
        <color indexed="8"/>
        <rFont val="Arial"/>
        <family val="2"/>
      </rPr>
      <t>See k-Value inner leaf sheet</t>
    </r>
  </si>
  <si>
    <r>
      <t xml:space="preserve">Concrete blocks - </t>
    </r>
    <r>
      <rPr>
        <sz val="9"/>
        <color indexed="8"/>
        <rFont val="Arial"/>
        <family val="2"/>
      </rPr>
      <t>See k-Value outer leaf sheet</t>
    </r>
  </si>
  <si>
    <r>
      <t>Stone - S</t>
    </r>
    <r>
      <rPr>
        <sz val="9"/>
        <color indexed="8"/>
        <rFont val="Arial"/>
        <family val="2"/>
      </rPr>
      <t>ee k-Value outer leaf sheet</t>
    </r>
  </si>
  <si>
    <r>
      <t xml:space="preserve">Bricks - </t>
    </r>
    <r>
      <rPr>
        <sz val="9"/>
        <color indexed="8"/>
        <rFont val="Arial"/>
        <family val="2"/>
      </rPr>
      <t>See k-Value outer leaf sheet</t>
    </r>
  </si>
  <si>
    <t>Concrete blocks- a.a.c.</t>
  </si>
  <si>
    <t>k-value outerleaf sheet</t>
  </si>
  <si>
    <t>Allows selection of Bulk Density and MC for external and internal masonry</t>
  </si>
  <si>
    <t xml:space="preserve">The print is initially set up to print out only the first 51 rows.   </t>
  </si>
  <si>
    <t>Timber lining</t>
  </si>
  <si>
    <r>
      <t xml:space="preserve">Timber weather boarding </t>
    </r>
    <r>
      <rPr>
        <i/>
        <sz val="10"/>
        <color indexed="12"/>
        <rFont val="Arial"/>
        <family val="2"/>
      </rPr>
      <t xml:space="preserve">would generally be a finish applied to a timber framed structure and one </t>
    </r>
  </si>
  <si>
    <t xml:space="preserve">would in that case expect vertical battens to be fastened over the timber frame panels to which the </t>
  </si>
  <si>
    <t>the weather board would be fixed.   This makes a void between the weather board and the timber panel cladding.</t>
  </si>
  <si>
    <t xml:space="preserve">The work sheet allows for this as well as for an additional membrane - either felt or Tyvek or similar immediately </t>
  </si>
  <si>
    <t xml:space="preserve">behind the weather board and on top of the strapping.   Don't confuse this membrane with the breather </t>
  </si>
  <si>
    <t>membrane which would be fixed over the general surface of the timber frame panels.</t>
  </si>
  <si>
    <t>Weather boarding  could also be fixed over a masonry wall - however unlikely that might appear to be!</t>
  </si>
  <si>
    <t xml:space="preserve">In that case choose the appropriate leaf of masonry and allow a cavity for the vertical strapping, </t>
  </si>
  <si>
    <t xml:space="preserve">a membrane and then the weather boarding.  There moight even be a double masonry skin with a cavity between.   </t>
  </si>
  <si>
    <t>Don't miss out on one of the cavities!</t>
  </si>
  <si>
    <t>Timber weather boarding**</t>
  </si>
  <si>
    <t>Cavity behind tiles/wthr brdg - high e**</t>
  </si>
  <si>
    <t>Ignore masonry inner leaf if wall is timber frame</t>
  </si>
  <si>
    <t>Select from k-value inner leaf sheet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</si>
</sst>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#&quot;#,##0_);\(&quot;#&quot;#,##0\)"/>
    <numFmt numFmtId="165" formatCode="&quot;#&quot;#,##0_);[Red]\(&quot;#&quot;#,##0\)"/>
    <numFmt numFmtId="166" formatCode="&quot;#&quot;#,##0.00_);\(&quot;#&quot;#,##0.00\)"/>
    <numFmt numFmtId="167" formatCode="&quot;#&quot;#,##0.00_);[Red]\(&quot;#&quot;#,##0.00\)"/>
    <numFmt numFmtId="168" formatCode="_(&quot;#&quot;* #,##0_);_(&quot;#&quot;* \(#,##0\);_(&quot;#&quot;* &quot;-&quot;_);_(@_)"/>
    <numFmt numFmtId="169" formatCode="_(* #,##0_);_(* \(#,##0\);_(* &quot;-&quot;_);_(@_)"/>
    <numFmt numFmtId="170" formatCode="_(&quot;#&quot;* #,##0.00_);_(&quot;#&quot;* \(#,##0.00\);_(&quot;#&quot;* &quot;-&quot;??_);_(@_)"/>
    <numFmt numFmtId="171" formatCode="_(* #,##0.00_);_(* \(#,##0.00\);_(* &quot;-&quot;??_);_(@_)"/>
    <numFmt numFmtId="172" formatCode="&quot;#&quot;&quot;#&quot;\,&quot;#&quot;&quot;#&quot;0_);\(&quot;#&quot;&quot;#&quot;\,&quot;#&quot;&quot;#&quot;0\)"/>
    <numFmt numFmtId="173" formatCode="&quot;#&quot;&quot;#&quot;\,&quot;#&quot;&quot;#&quot;0_);[Red]\(&quot;#&quot;&quot;#&quot;\,&quot;#&quot;&quot;#&quot;0\)"/>
    <numFmt numFmtId="174" formatCode="&quot;#&quot;&quot;#&quot;\,&quot;#&quot;&quot;#&quot;0.00_);\(&quot;#&quot;&quot;#&quot;\,&quot;#&quot;&quot;#&quot;0.00\)"/>
    <numFmt numFmtId="175" formatCode="&quot;#&quot;&quot;#&quot;\,&quot;#&quot;&quot;#&quot;0.00_);[Red]\(&quot;#&quot;&quot;#&quot;\,&quot;#&quot;&quot;#&quot;0.00\)"/>
    <numFmt numFmtId="176" formatCode="_(&quot;#&quot;* &quot;#&quot;\,&quot;#&quot;&quot;#&quot;0_);_(&quot;#&quot;* \(&quot;#&quot;\,&quot;#&quot;&quot;#&quot;0\);_(&quot;#&quot;* &quot;-&quot;_);_(@_)"/>
    <numFmt numFmtId="177" formatCode="_(* &quot;#&quot;\,&quot;#&quot;&quot;#&quot;0_);_(* \(&quot;#&quot;\,&quot;#&quot;&quot;#&quot;0\);_(* &quot;-&quot;_);_(@_)"/>
    <numFmt numFmtId="178" formatCode="_(&quot;#&quot;* &quot;#&quot;\,&quot;#&quot;&quot;#&quot;0.00_);_(&quot;#&quot;* \(&quot;#&quot;\,&quot;#&quot;&quot;#&quot;0.00\);_(&quot;#&quot;* &quot;-&quot;??_);_(@_)"/>
    <numFmt numFmtId="179" formatCode="_(* &quot;#&quot;\,&quot;#&quot;&quot;#&quot;0.00_);_(* \(&quot;#&quot;\,&quot;#&quot;&quot;#&quot;0.00\);_(* &quot;-&quot;??_);_(@_)"/>
    <numFmt numFmtId="180" formatCode="General_)"/>
    <numFmt numFmtId="181" formatCode="dd\-mmm\-yy_)"/>
    <numFmt numFmtId="182" formatCode="0.00_)"/>
    <numFmt numFmtId="183" formatCode="0.000"/>
    <numFmt numFmtId="184" formatCode=";;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8"/>
      <name val="Courier"/>
      <family val="3"/>
    </font>
    <font>
      <i/>
      <sz val="10"/>
      <color indexed="12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i/>
      <sz val="9"/>
      <color indexed="10"/>
      <name val="Arial"/>
      <family val="0"/>
    </font>
    <font>
      <b/>
      <i/>
      <sz val="10"/>
      <color indexed="12"/>
      <name val="Arial"/>
      <family val="0"/>
    </font>
    <font>
      <b/>
      <i/>
      <sz val="10"/>
      <color indexed="8"/>
      <name val="Arial"/>
      <family val="0"/>
    </font>
    <font>
      <b/>
      <sz val="6"/>
      <color indexed="8"/>
      <name val="Arial"/>
      <family val="2"/>
    </font>
    <font>
      <b/>
      <sz val="6"/>
      <name val="Arial"/>
      <family val="0"/>
    </font>
    <font>
      <sz val="12"/>
      <color indexed="10"/>
      <name val="Arial"/>
      <family val="2"/>
    </font>
    <font>
      <sz val="10"/>
      <color indexed="10"/>
      <name val="Courier"/>
      <family val="0"/>
    </font>
    <font>
      <i/>
      <sz val="10"/>
      <color indexed="8"/>
      <name val="Arial"/>
      <family val="0"/>
    </font>
    <font>
      <sz val="10"/>
      <color indexed="14"/>
      <name val="Arial"/>
      <family val="2"/>
    </font>
    <font>
      <sz val="10"/>
      <color indexed="39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i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Courier"/>
      <family val="0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1">
    <xf numFmtId="180" fontId="0" fillId="0" borderId="0" xfId="0" applyAlignment="1">
      <alignment/>
    </xf>
    <xf numFmtId="180" fontId="5" fillId="0" borderId="0" xfId="0" applyFont="1" applyAlignment="1" applyProtection="1">
      <alignment/>
      <protection locked="0"/>
    </xf>
    <xf numFmtId="180" fontId="6" fillId="0" borderId="0" xfId="0" applyFont="1" applyAlignment="1">
      <alignment/>
    </xf>
    <xf numFmtId="180" fontId="6" fillId="0" borderId="0" xfId="0" applyFont="1" applyAlignment="1" applyProtection="1">
      <alignment horizontal="left"/>
      <protection locked="0"/>
    </xf>
    <xf numFmtId="180" fontId="7" fillId="0" borderId="0" xfId="0" applyFont="1" applyAlignment="1">
      <alignment/>
    </xf>
    <xf numFmtId="180" fontId="8" fillId="0" borderId="0" xfId="0" applyFont="1" applyAlignment="1" applyProtection="1">
      <alignment horizontal="left"/>
      <protection locked="0"/>
    </xf>
    <xf numFmtId="180" fontId="9" fillId="0" borderId="0" xfId="0" applyFont="1" applyAlignment="1">
      <alignment/>
    </xf>
    <xf numFmtId="180" fontId="9" fillId="0" borderId="0" xfId="0" applyFont="1" applyAlignment="1">
      <alignment horizontal="left"/>
    </xf>
    <xf numFmtId="180" fontId="10" fillId="0" borderId="0" xfId="0" applyFont="1" applyAlignment="1" applyProtection="1">
      <alignment horizontal="left"/>
      <protection locked="0"/>
    </xf>
    <xf numFmtId="180" fontId="8" fillId="0" borderId="0" xfId="0" applyFont="1" applyAlignment="1">
      <alignment/>
    </xf>
    <xf numFmtId="180" fontId="10" fillId="0" borderId="0" xfId="0" applyFont="1" applyAlignment="1">
      <alignment/>
    </xf>
    <xf numFmtId="180" fontId="4" fillId="0" borderId="0" xfId="0" applyFont="1" applyAlignment="1">
      <alignment/>
    </xf>
    <xf numFmtId="180" fontId="9" fillId="0" borderId="0" xfId="0" applyFont="1" applyAlignment="1" applyProtection="1">
      <alignment horizontal="left"/>
      <protection locked="0"/>
    </xf>
    <xf numFmtId="180" fontId="11" fillId="0" borderId="0" xfId="0" applyFont="1" applyAlignment="1" applyProtection="1">
      <alignment horizontal="left"/>
      <protection locked="0"/>
    </xf>
    <xf numFmtId="180" fontId="11" fillId="0" borderId="0" xfId="0" applyFont="1" applyAlignment="1">
      <alignment/>
    </xf>
    <xf numFmtId="180" fontId="12" fillId="0" borderId="0" xfId="0" applyFont="1" applyAlignment="1" applyProtection="1">
      <alignment horizontal="left"/>
      <protection locked="0"/>
    </xf>
    <xf numFmtId="180" fontId="13" fillId="0" borderId="0" xfId="0" applyFont="1" applyAlignment="1" applyProtection="1">
      <alignment horizontal="left"/>
      <protection locked="0"/>
    </xf>
    <xf numFmtId="180" fontId="13" fillId="0" borderId="0" xfId="0" applyFont="1" applyAlignment="1">
      <alignment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>
      <alignment/>
    </xf>
    <xf numFmtId="180" fontId="13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 horizontal="left"/>
      <protection locked="0"/>
    </xf>
    <xf numFmtId="180" fontId="8" fillId="0" borderId="0" xfId="0" applyFont="1" applyAlignment="1" applyProtection="1">
      <alignment horizontal="center"/>
      <protection locked="0"/>
    </xf>
    <xf numFmtId="180" fontId="12" fillId="0" borderId="0" xfId="0" applyFont="1" applyAlignment="1">
      <alignment/>
    </xf>
    <xf numFmtId="183" fontId="9" fillId="0" borderId="0" xfId="0" applyNumberFormat="1" applyFont="1" applyAlignment="1" quotePrefix="1">
      <alignment/>
    </xf>
    <xf numFmtId="183" fontId="9" fillId="0" borderId="1" xfId="0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 quotePrefix="1">
      <alignment/>
    </xf>
    <xf numFmtId="180" fontId="9" fillId="0" borderId="2" xfId="0" applyFont="1" applyBorder="1" applyAlignment="1" applyProtection="1" quotePrefix="1">
      <alignment horizontal="left"/>
      <protection locked="0"/>
    </xf>
    <xf numFmtId="183" fontId="9" fillId="0" borderId="2" xfId="0" applyNumberFormat="1" applyFont="1" applyBorder="1" applyAlignment="1" applyProtection="1" quotePrefix="1">
      <alignment horizontal="left"/>
      <protection locked="0"/>
    </xf>
    <xf numFmtId="180" fontId="9" fillId="0" borderId="3" xfId="0" applyFont="1" applyBorder="1" applyAlignment="1">
      <alignment/>
    </xf>
    <xf numFmtId="180" fontId="4" fillId="0" borderId="3" xfId="0" applyFont="1" applyBorder="1" applyAlignment="1">
      <alignment/>
    </xf>
    <xf numFmtId="180" fontId="9" fillId="0" borderId="0" xfId="0" applyFont="1" applyAlignment="1" applyProtection="1">
      <alignment horizontal="left"/>
      <protection hidden="1" locked="0"/>
    </xf>
    <xf numFmtId="183" fontId="9" fillId="0" borderId="2" xfId="0" applyNumberFormat="1" applyFont="1" applyBorder="1" applyAlignment="1">
      <alignment/>
    </xf>
    <xf numFmtId="183" fontId="13" fillId="0" borderId="3" xfId="0" applyNumberFormat="1" applyFont="1" applyBorder="1" applyAlignment="1" applyProtection="1">
      <alignment/>
      <protection locked="0"/>
    </xf>
    <xf numFmtId="180" fontId="11" fillId="0" borderId="0" xfId="0" applyFont="1" applyAlignment="1">
      <alignment/>
    </xf>
    <xf numFmtId="180" fontId="14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180" fontId="1" fillId="0" borderId="0" xfId="0" applyFont="1" applyAlignment="1">
      <alignment/>
    </xf>
    <xf numFmtId="180" fontId="4" fillId="0" borderId="0" xfId="0" applyFont="1" applyAlignment="1">
      <alignment horizontal="center"/>
    </xf>
    <xf numFmtId="180" fontId="15" fillId="0" borderId="0" xfId="0" applyFont="1" applyAlignment="1">
      <alignment horizontal="center"/>
    </xf>
    <xf numFmtId="180" fontId="16" fillId="0" borderId="0" xfId="0" applyFont="1" applyAlignment="1">
      <alignment/>
    </xf>
    <xf numFmtId="180" fontId="11" fillId="0" borderId="0" xfId="0" applyFont="1" applyAlignment="1">
      <alignment horizontal="center"/>
    </xf>
    <xf numFmtId="180" fontId="4" fillId="0" borderId="4" xfId="0" applyFont="1" applyBorder="1" applyAlignment="1">
      <alignment/>
    </xf>
    <xf numFmtId="180" fontId="4" fillId="0" borderId="5" xfId="0" applyFont="1" applyBorder="1" applyAlignment="1">
      <alignment/>
    </xf>
    <xf numFmtId="180" fontId="4" fillId="0" borderId="6" xfId="0" applyFont="1" applyBorder="1" applyAlignment="1">
      <alignment/>
    </xf>
    <xf numFmtId="180" fontId="4" fillId="0" borderId="7" xfId="0" applyFont="1" applyBorder="1" applyAlignment="1">
      <alignment/>
    </xf>
    <xf numFmtId="9" fontId="4" fillId="0" borderId="3" xfId="0" applyNumberFormat="1" applyFont="1" applyBorder="1" applyAlignment="1">
      <alignment/>
    </xf>
    <xf numFmtId="180" fontId="6" fillId="0" borderId="0" xfId="0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9" fillId="0" borderId="0" xfId="0" applyFont="1" applyBorder="1" applyAlignment="1" applyProtection="1" quotePrefix="1">
      <alignment horizontal="left"/>
      <protection locked="0"/>
    </xf>
    <xf numFmtId="180" fontId="19" fillId="0" borderId="0" xfId="0" applyFont="1" applyAlignment="1">
      <alignment/>
    </xf>
    <xf numFmtId="180" fontId="8" fillId="0" borderId="0" xfId="0" applyFont="1" applyAlignment="1" quotePrefix="1">
      <alignment horizontal="center"/>
    </xf>
    <xf numFmtId="180" fontId="20" fillId="0" borderId="0" xfId="0" applyFont="1" applyAlignment="1">
      <alignment/>
    </xf>
    <xf numFmtId="183" fontId="13" fillId="0" borderId="0" xfId="0" applyNumberFormat="1" applyFont="1" applyAlignment="1" applyProtection="1">
      <alignment horizontal="left"/>
      <protection locked="0"/>
    </xf>
    <xf numFmtId="180" fontId="12" fillId="0" borderId="0" xfId="0" applyFont="1" applyAlignment="1">
      <alignment/>
    </xf>
    <xf numFmtId="180" fontId="10" fillId="0" borderId="0" xfId="0" applyFont="1" applyAlignment="1" applyProtection="1">
      <alignment horizontal="centerContinuous"/>
      <protection locked="0"/>
    </xf>
    <xf numFmtId="183" fontId="9" fillId="0" borderId="2" xfId="0" applyNumberFormat="1" applyFont="1" applyBorder="1" applyAlignment="1" applyProtection="1">
      <alignment/>
      <protection locked="0"/>
    </xf>
    <xf numFmtId="183" fontId="9" fillId="0" borderId="0" xfId="0" applyNumberFormat="1" applyFont="1" applyAlignment="1" quotePrefix="1">
      <alignment horizontal="center"/>
    </xf>
    <xf numFmtId="180" fontId="10" fillId="0" borderId="3" xfId="0" applyFont="1" applyBorder="1" applyAlignment="1">
      <alignment/>
    </xf>
    <xf numFmtId="180" fontId="17" fillId="0" borderId="3" xfId="0" applyFont="1" applyBorder="1" applyAlignment="1">
      <alignment horizontal="center"/>
    </xf>
    <xf numFmtId="180" fontId="21" fillId="0" borderId="0" xfId="0" applyFont="1" applyAlignment="1" applyProtection="1" quotePrefix="1">
      <alignment horizontal="center"/>
      <protection locked="0"/>
    </xf>
    <xf numFmtId="180" fontId="23" fillId="0" borderId="0" xfId="0" applyFont="1" applyAlignment="1">
      <alignment/>
    </xf>
    <xf numFmtId="180" fontId="8" fillId="0" borderId="0" xfId="0" applyFont="1" applyAlignment="1" applyProtection="1">
      <alignment horizontal="left"/>
      <protection locked="0"/>
    </xf>
    <xf numFmtId="180" fontId="4" fillId="0" borderId="6" xfId="0" applyFont="1" applyBorder="1" applyAlignment="1">
      <alignment horizontal="center"/>
    </xf>
    <xf numFmtId="180" fontId="13" fillId="0" borderId="6" xfId="0" applyFont="1" applyBorder="1" applyAlignment="1">
      <alignment horizontal="center"/>
    </xf>
    <xf numFmtId="180" fontId="12" fillId="0" borderId="6" xfId="0" applyFont="1" applyBorder="1" applyAlignment="1">
      <alignment horizontal="center"/>
    </xf>
    <xf numFmtId="180" fontId="8" fillId="0" borderId="8" xfId="0" applyFont="1" applyBorder="1" applyAlignment="1">
      <alignment/>
    </xf>
    <xf numFmtId="2" fontId="4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180" fontId="4" fillId="2" borderId="3" xfId="0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" fontId="13" fillId="2" borderId="3" xfId="0" applyNumberFormat="1" applyFont="1" applyFill="1" applyBorder="1" applyAlignment="1">
      <alignment/>
    </xf>
    <xf numFmtId="1" fontId="12" fillId="2" borderId="3" xfId="0" applyNumberFormat="1" applyFont="1" applyFill="1" applyBorder="1" applyAlignment="1">
      <alignment/>
    </xf>
    <xf numFmtId="180" fontId="4" fillId="3" borderId="3" xfId="0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1" fontId="13" fillId="3" borderId="3" xfId="0" applyNumberFormat="1" applyFont="1" applyFill="1" applyBorder="1" applyAlignment="1">
      <alignment/>
    </xf>
    <xf numFmtId="1" fontId="12" fillId="3" borderId="3" xfId="0" applyNumberFormat="1" applyFont="1" applyFill="1" applyBorder="1" applyAlignment="1">
      <alignment/>
    </xf>
    <xf numFmtId="180" fontId="4" fillId="4" borderId="9" xfId="0" applyFont="1" applyFill="1" applyBorder="1" applyAlignment="1">
      <alignment/>
    </xf>
    <xf numFmtId="180" fontId="0" fillId="3" borderId="0" xfId="0" applyFill="1" applyAlignment="1">
      <alignment/>
    </xf>
    <xf numFmtId="180" fontId="4" fillId="5" borderId="0" xfId="0" applyFont="1" applyFill="1" applyBorder="1" applyAlignment="1">
      <alignment horizontal="centerContinuous"/>
    </xf>
    <xf numFmtId="180" fontId="4" fillId="5" borderId="0" xfId="0" applyFont="1" applyFill="1" applyBorder="1" applyAlignment="1" applyProtection="1">
      <alignment/>
      <protection hidden="1"/>
    </xf>
    <xf numFmtId="180" fontId="4" fillId="0" borderId="6" xfId="0" applyFont="1" applyBorder="1" applyAlignment="1">
      <alignment/>
    </xf>
    <xf numFmtId="180" fontId="9" fillId="0" borderId="3" xfId="0" applyFont="1" applyBorder="1" applyAlignment="1" applyProtection="1">
      <alignment horizontal="left"/>
      <protection locked="0"/>
    </xf>
    <xf numFmtId="180" fontId="0" fillId="0" borderId="3" xfId="0" applyBorder="1" applyAlignment="1">
      <alignment/>
    </xf>
    <xf numFmtId="180" fontId="0" fillId="2" borderId="3" xfId="0" applyFill="1" applyBorder="1" applyAlignment="1">
      <alignment/>
    </xf>
    <xf numFmtId="180" fontId="0" fillId="4" borderId="3" xfId="0" applyFill="1" applyBorder="1" applyAlignment="1">
      <alignment/>
    </xf>
    <xf numFmtId="180" fontId="1" fillId="0" borderId="3" xfId="0" applyFont="1" applyBorder="1" applyAlignment="1">
      <alignment/>
    </xf>
    <xf numFmtId="180" fontId="8" fillId="0" borderId="3" xfId="0" applyFont="1" applyBorder="1" applyAlignment="1" applyProtection="1">
      <alignment horizontal="left"/>
      <protection locked="0"/>
    </xf>
    <xf numFmtId="180" fontId="0" fillId="5" borderId="3" xfId="0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" fontId="2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25" fillId="2" borderId="3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" fontId="2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180" fontId="4" fillId="2" borderId="5" xfId="0" applyFont="1" applyFill="1" applyBorder="1" applyAlignment="1">
      <alignment/>
    </xf>
    <xf numFmtId="180" fontId="4" fillId="2" borderId="6" xfId="0" applyFont="1" applyFill="1" applyBorder="1" applyAlignment="1">
      <alignment/>
    </xf>
    <xf numFmtId="180" fontId="20" fillId="0" borderId="0" xfId="0" applyFont="1" applyAlignment="1" quotePrefix="1">
      <alignment/>
    </xf>
    <xf numFmtId="180" fontId="11" fillId="0" borderId="0" xfId="0" applyFont="1" applyAlignment="1" quotePrefix="1">
      <alignment/>
    </xf>
    <xf numFmtId="183" fontId="13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>
      <alignment/>
    </xf>
    <xf numFmtId="180" fontId="9" fillId="0" borderId="0" xfId="0" applyFont="1" applyBorder="1" applyAlignment="1">
      <alignment/>
    </xf>
    <xf numFmtId="180" fontId="1" fillId="0" borderId="0" xfId="0" applyFont="1" applyAlignment="1">
      <alignment/>
    </xf>
    <xf numFmtId="183" fontId="27" fillId="0" borderId="0" xfId="0" applyNumberFormat="1" applyFont="1" applyAlignment="1" applyProtection="1">
      <alignment/>
      <protection locked="0"/>
    </xf>
    <xf numFmtId="180" fontId="28" fillId="0" borderId="0" xfId="0" applyFont="1" applyAlignment="1">
      <alignment/>
    </xf>
    <xf numFmtId="180" fontId="29" fillId="0" borderId="0" xfId="0" applyFont="1" applyAlignment="1">
      <alignment/>
    </xf>
    <xf numFmtId="180" fontId="1" fillId="0" borderId="4" xfId="0" applyFont="1" applyBorder="1" applyAlignment="1">
      <alignment horizontal="center" vertical="top" wrapText="1"/>
    </xf>
    <xf numFmtId="180" fontId="4" fillId="0" borderId="4" xfId="0" applyFont="1" applyBorder="1" applyAlignment="1">
      <alignment horizontal="center" vertical="top" wrapText="1"/>
    </xf>
    <xf numFmtId="180" fontId="24" fillId="0" borderId="8" xfId="0" applyFont="1" applyBorder="1" applyAlignment="1">
      <alignment horizontal="center" vertical="top" wrapText="1"/>
    </xf>
    <xf numFmtId="180" fontId="4" fillId="0" borderId="3" xfId="0" applyFont="1" applyBorder="1" applyAlignment="1">
      <alignment horizontal="center" vertical="top" wrapText="1"/>
    </xf>
    <xf numFmtId="180" fontId="30" fillId="0" borderId="8" xfId="0" applyFont="1" applyBorder="1" applyAlignment="1">
      <alignment/>
    </xf>
    <xf numFmtId="180" fontId="31" fillId="0" borderId="0" xfId="0" applyFont="1" applyAlignment="1">
      <alignment/>
    </xf>
    <xf numFmtId="180" fontId="32" fillId="0" borderId="0" xfId="0" applyFont="1" applyAlignment="1">
      <alignment/>
    </xf>
    <xf numFmtId="180" fontId="33" fillId="0" borderId="0" xfId="0" applyFont="1" applyAlignment="1">
      <alignment/>
    </xf>
    <xf numFmtId="180" fontId="34" fillId="0" borderId="0" xfId="0" applyFont="1" applyAlignment="1">
      <alignment/>
    </xf>
    <xf numFmtId="180" fontId="25" fillId="6" borderId="0" xfId="0" applyFont="1" applyFill="1" applyBorder="1" applyAlignment="1">
      <alignment horizontal="center"/>
    </xf>
    <xf numFmtId="180" fontId="0" fillId="6" borderId="0" xfId="0" applyFill="1" applyBorder="1" applyAlignment="1">
      <alignment/>
    </xf>
    <xf numFmtId="180" fontId="33" fillId="6" borderId="10" xfId="0" applyFont="1" applyFill="1" applyBorder="1" applyAlignment="1">
      <alignment/>
    </xf>
    <xf numFmtId="180" fontId="4" fillId="6" borderId="0" xfId="0" applyFont="1" applyFill="1" applyBorder="1" applyAlignment="1">
      <alignment/>
    </xf>
    <xf numFmtId="180" fontId="11" fillId="6" borderId="0" xfId="0" applyFont="1" applyFill="1" applyBorder="1" applyAlignment="1" applyProtection="1">
      <alignment horizontal="left"/>
      <protection locked="0"/>
    </xf>
    <xf numFmtId="180" fontId="32" fillId="6" borderId="0" xfId="0" applyFont="1" applyFill="1" applyBorder="1" applyAlignment="1">
      <alignment/>
    </xf>
    <xf numFmtId="180" fontId="9" fillId="6" borderId="11" xfId="0" applyFont="1" applyFill="1" applyBorder="1" applyAlignment="1" applyProtection="1">
      <alignment horizontal="center"/>
      <protection locked="0"/>
    </xf>
    <xf numFmtId="180" fontId="32" fillId="6" borderId="2" xfId="0" applyFont="1" applyFill="1" applyBorder="1" applyAlignment="1">
      <alignment/>
    </xf>
    <xf numFmtId="180" fontId="4" fillId="6" borderId="2" xfId="0" applyFont="1" applyFill="1" applyBorder="1" applyAlignment="1">
      <alignment/>
    </xf>
    <xf numFmtId="180" fontId="11" fillId="6" borderId="2" xfId="0" applyFont="1" applyFill="1" applyBorder="1" applyAlignment="1" applyProtection="1">
      <alignment horizontal="left"/>
      <protection locked="0"/>
    </xf>
    <xf numFmtId="180" fontId="9" fillId="0" borderId="0" xfId="0" applyFont="1" applyFill="1" applyBorder="1" applyAlignment="1" applyProtection="1">
      <alignment horizontal="center"/>
      <protection locked="0"/>
    </xf>
    <xf numFmtId="180" fontId="32" fillId="0" borderId="0" xfId="0" applyFont="1" applyFill="1" applyBorder="1" applyAlignment="1">
      <alignment/>
    </xf>
    <xf numFmtId="180" fontId="9" fillId="0" borderId="0" xfId="0" applyFont="1" applyFill="1" applyBorder="1" applyAlignment="1" applyProtection="1">
      <alignment horizontal="left"/>
      <protection locked="0"/>
    </xf>
    <xf numFmtId="180" fontId="4" fillId="0" borderId="0" xfId="0" applyFont="1" applyFill="1" applyBorder="1" applyAlignment="1">
      <alignment/>
    </xf>
    <xf numFmtId="180" fontId="11" fillId="0" borderId="0" xfId="0" applyFont="1" applyFill="1" applyBorder="1" applyAlignment="1" applyProtection="1">
      <alignment horizontal="left"/>
      <protection locked="0"/>
    </xf>
    <xf numFmtId="180" fontId="11" fillId="0" borderId="0" xfId="0" applyFont="1" applyFill="1" applyBorder="1" applyAlignment="1" applyProtection="1">
      <alignment/>
      <protection locked="0"/>
    </xf>
    <xf numFmtId="180" fontId="5" fillId="0" borderId="0" xfId="0" applyFont="1" applyAlignment="1">
      <alignment/>
    </xf>
    <xf numFmtId="180" fontId="36" fillId="0" borderId="0" xfId="0" applyFont="1" applyAlignment="1">
      <alignment/>
    </xf>
    <xf numFmtId="180" fontId="12" fillId="0" borderId="8" xfId="0" applyFont="1" applyBorder="1" applyAlignment="1">
      <alignment horizontal="center"/>
    </xf>
    <xf numFmtId="180" fontId="9" fillId="0" borderId="0" xfId="0" applyFont="1" applyAlignment="1" applyProtection="1">
      <alignment horizontal="left" wrapText="1"/>
      <protection locked="0"/>
    </xf>
    <xf numFmtId="180" fontId="4" fillId="6" borderId="10" xfId="0" applyFont="1" applyFill="1" applyBorder="1" applyAlignment="1">
      <alignment/>
    </xf>
    <xf numFmtId="180" fontId="9" fillId="6" borderId="10" xfId="0" applyFont="1" applyFill="1" applyBorder="1" applyAlignment="1" applyProtection="1">
      <alignment horizontal="left"/>
      <protection locked="0"/>
    </xf>
    <xf numFmtId="180" fontId="9" fillId="6" borderId="11" xfId="0" applyFont="1" applyFill="1" applyBorder="1" applyAlignment="1" applyProtection="1">
      <alignment horizontal="left"/>
      <protection locked="0"/>
    </xf>
    <xf numFmtId="180" fontId="9" fillId="6" borderId="8" xfId="0" applyFont="1" applyFill="1" applyBorder="1" applyAlignment="1" applyProtection="1">
      <alignment horizontal="left"/>
      <protection locked="0"/>
    </xf>
    <xf numFmtId="180" fontId="11" fillId="6" borderId="8" xfId="0" applyFont="1" applyFill="1" applyBorder="1" applyAlignment="1" applyProtection="1">
      <alignment horizontal="left"/>
      <protection locked="0"/>
    </xf>
    <xf numFmtId="180" fontId="11" fillId="6" borderId="12" xfId="0" applyFont="1" applyFill="1" applyBorder="1" applyAlignment="1" applyProtection="1">
      <alignment horizontal="left"/>
      <protection locked="0"/>
    </xf>
    <xf numFmtId="180" fontId="0" fillId="6" borderId="0" xfId="0" applyFill="1" applyAlignment="1">
      <alignment/>
    </xf>
    <xf numFmtId="180" fontId="0" fillId="6" borderId="13" xfId="0" applyFill="1" applyBorder="1" applyAlignment="1">
      <alignment/>
    </xf>
    <xf numFmtId="180" fontId="0" fillId="6" borderId="14" xfId="0" applyFill="1" applyBorder="1" applyAlignment="1">
      <alignment/>
    </xf>
    <xf numFmtId="180" fontId="0" fillId="6" borderId="2" xfId="0" applyFill="1" applyBorder="1" applyAlignment="1">
      <alignment/>
    </xf>
    <xf numFmtId="180" fontId="4" fillId="6" borderId="8" xfId="0" applyFont="1" applyFill="1" applyBorder="1" applyAlignment="1">
      <alignment horizontal="left"/>
    </xf>
    <xf numFmtId="180" fontId="38" fillId="0" borderId="0" xfId="0" applyFont="1" applyAlignment="1" applyProtection="1">
      <alignment horizontal="left"/>
      <protection locked="0"/>
    </xf>
    <xf numFmtId="180" fontId="39" fillId="0" borderId="0" xfId="0" applyFont="1" applyAlignment="1">
      <alignment/>
    </xf>
    <xf numFmtId="180" fontId="12" fillId="0" borderId="0" xfId="0" applyFont="1" applyBorder="1" applyAlignment="1">
      <alignment horizontal="centerContinuous"/>
    </xf>
    <xf numFmtId="180" fontId="5" fillId="0" borderId="0" xfId="0" applyFont="1" applyBorder="1" applyAlignment="1">
      <alignment horizontal="centerContinuous"/>
    </xf>
    <xf numFmtId="180" fontId="12" fillId="0" borderId="0" xfId="0" applyFont="1" applyBorder="1" applyAlignment="1">
      <alignment/>
    </xf>
    <xf numFmtId="180" fontId="40" fillId="6" borderId="10" xfId="0" applyFont="1" applyFill="1" applyBorder="1" applyAlignment="1">
      <alignment horizontal="center"/>
    </xf>
    <xf numFmtId="180" fontId="42" fillId="6" borderId="0" xfId="0" applyFont="1" applyFill="1" applyBorder="1" applyAlignment="1">
      <alignment horizontal="center" wrapText="1"/>
    </xf>
    <xf numFmtId="180" fontId="41" fillId="6" borderId="10" xfId="0" applyFont="1" applyFill="1" applyBorder="1" applyAlignment="1" applyProtection="1">
      <alignment horizontal="center"/>
      <protection locked="0"/>
    </xf>
    <xf numFmtId="184" fontId="32" fillId="6" borderId="0" xfId="0" applyNumberFormat="1" applyFont="1" applyFill="1" applyBorder="1" applyAlignment="1">
      <alignment/>
    </xf>
    <xf numFmtId="180" fontId="1" fillId="0" borderId="15" xfId="0" applyFont="1" applyBorder="1" applyAlignment="1">
      <alignment horizontal="center" vertical="top" wrapText="1"/>
    </xf>
    <xf numFmtId="180" fontId="24" fillId="0" borderId="15" xfId="0" applyFont="1" applyBorder="1" applyAlignment="1">
      <alignment horizontal="center" vertical="top" wrapText="1"/>
    </xf>
    <xf numFmtId="180" fontId="12" fillId="0" borderId="16" xfId="0" applyFont="1" applyBorder="1" applyAlignment="1">
      <alignment horizontal="center" vertical="top" wrapText="1"/>
    </xf>
    <xf numFmtId="180" fontId="4" fillId="7" borderId="3" xfId="0" applyFont="1" applyFill="1" applyBorder="1" applyAlignment="1" applyProtection="1">
      <alignment/>
      <protection hidden="1"/>
    </xf>
    <xf numFmtId="184" fontId="9" fillId="0" borderId="0" xfId="0" applyNumberFormat="1" applyFont="1" applyAlignment="1" applyProtection="1">
      <alignment/>
      <protection locked="0"/>
    </xf>
    <xf numFmtId="180" fontId="37" fillId="0" borderId="0" xfId="0" applyFont="1" applyAlignment="1" applyProtection="1">
      <alignment horizontal="left" wrapText="1"/>
      <protection locked="0"/>
    </xf>
    <xf numFmtId="180" fontId="4" fillId="6" borderId="12" xfId="0" applyFont="1" applyFill="1" applyBorder="1" applyAlignment="1">
      <alignment horizontal="left"/>
    </xf>
    <xf numFmtId="184" fontId="0" fillId="0" borderId="0" xfId="0" applyNumberFormat="1" applyAlignment="1">
      <alignment/>
    </xf>
    <xf numFmtId="180" fontId="42" fillId="6" borderId="10" xfId="0" applyFont="1" applyFill="1" applyBorder="1" applyAlignment="1">
      <alignment/>
    </xf>
    <xf numFmtId="180" fontId="40" fillId="6" borderId="10" xfId="0" applyFont="1" applyFill="1" applyBorder="1" applyAlignment="1">
      <alignment/>
    </xf>
    <xf numFmtId="180" fontId="0" fillId="0" borderId="10" xfId="0" applyBorder="1" applyAlignment="1">
      <alignment/>
    </xf>
    <xf numFmtId="180" fontId="0" fillId="8" borderId="0" xfId="0" applyFill="1" applyAlignment="1">
      <alignment/>
    </xf>
    <xf numFmtId="180" fontId="20" fillId="0" borderId="0" xfId="0" applyFont="1" applyAlignment="1">
      <alignment/>
    </xf>
    <xf numFmtId="180" fontId="12" fillId="0" borderId="0" xfId="0" applyFont="1" applyAlignment="1" applyProtection="1">
      <alignment horizontal="left" wrapText="1"/>
      <protection locked="0"/>
    </xf>
    <xf numFmtId="180" fontId="28" fillId="0" borderId="0" xfId="0" applyFont="1" applyAlignment="1">
      <alignment wrapText="1"/>
    </xf>
    <xf numFmtId="180" fontId="8" fillId="0" borderId="0" xfId="0" applyFont="1" applyAlignment="1" applyProtection="1">
      <alignment horizontal="right" wrapText="1"/>
      <protection locked="0"/>
    </xf>
    <xf numFmtId="180" fontId="8" fillId="0" borderId="0" xfId="0" applyFont="1" applyAlignment="1" applyProtection="1">
      <alignment horizontal="center" wrapText="1"/>
      <protection locked="0"/>
    </xf>
    <xf numFmtId="180" fontId="26" fillId="0" borderId="0" xfId="0" applyFont="1" applyAlignment="1">
      <alignment horizontal="center"/>
    </xf>
    <xf numFmtId="180" fontId="41" fillId="6" borderId="10" xfId="0" applyFont="1" applyFill="1" applyBorder="1" applyAlignment="1" applyProtection="1">
      <alignment horizontal="center"/>
      <protection locked="0"/>
    </xf>
    <xf numFmtId="180" fontId="41" fillId="6" borderId="0" xfId="0" applyFont="1" applyFill="1" applyBorder="1" applyAlignment="1" applyProtection="1">
      <alignment horizontal="center"/>
      <protection locked="0"/>
    </xf>
    <xf numFmtId="180" fontId="41" fillId="6" borderId="8" xfId="0" applyFont="1" applyFill="1" applyBorder="1" applyAlignment="1" applyProtection="1">
      <alignment horizontal="center"/>
      <protection locked="0"/>
    </xf>
    <xf numFmtId="180" fontId="15" fillId="6" borderId="17" xfId="0" applyFont="1" applyFill="1" applyBorder="1" applyAlignment="1">
      <alignment horizontal="center"/>
    </xf>
    <xf numFmtId="180" fontId="15" fillId="6" borderId="16" xfId="0" applyFont="1" applyFill="1" applyBorder="1" applyAlignment="1">
      <alignment horizontal="center"/>
    </xf>
    <xf numFmtId="180" fontId="15" fillId="6" borderId="15" xfId="0" applyFont="1" applyFill="1" applyBorder="1" applyAlignment="1">
      <alignment horizontal="center"/>
    </xf>
    <xf numFmtId="183" fontId="24" fillId="0" borderId="0" xfId="0" applyNumberFormat="1" applyFont="1" applyBorder="1" applyAlignment="1">
      <alignment horizontal="center"/>
    </xf>
    <xf numFmtId="180" fontId="38" fillId="0" borderId="0" xfId="0" applyFont="1" applyAlignment="1" applyProtection="1">
      <alignment horizontal="center"/>
      <protection locked="0"/>
    </xf>
    <xf numFmtId="180" fontId="38" fillId="0" borderId="0" xfId="0" applyFont="1" applyBorder="1" applyAlignment="1" applyProtection="1">
      <alignment horizontal="center"/>
      <protection locked="0"/>
    </xf>
    <xf numFmtId="0" fontId="15" fillId="0" borderId="0" xfId="0" applyNumberFormat="1" applyFont="1" applyAlignment="1">
      <alignment horizontal="center"/>
    </xf>
    <xf numFmtId="180" fontId="1" fillId="6" borderId="18" xfId="0" applyFont="1" applyFill="1" applyBorder="1" applyAlignment="1">
      <alignment horizontal="center"/>
    </xf>
    <xf numFmtId="180" fontId="1" fillId="6" borderId="13" xfId="0" applyFont="1" applyFill="1" applyBorder="1" applyAlignment="1">
      <alignment horizontal="center"/>
    </xf>
    <xf numFmtId="180" fontId="26" fillId="0" borderId="0" xfId="0" applyFont="1" applyAlignment="1">
      <alignment horizontal="center"/>
    </xf>
    <xf numFmtId="180" fontId="35" fillId="0" borderId="0" xfId="0" applyFont="1" applyAlignment="1">
      <alignment horizontal="center"/>
    </xf>
    <xf numFmtId="180" fontId="4" fillId="4" borderId="17" xfId="0" applyFont="1" applyFill="1" applyBorder="1" applyAlignment="1">
      <alignment horizontal="center"/>
    </xf>
    <xf numFmtId="180" fontId="4" fillId="4" borderId="15" xfId="0" applyFont="1" applyFill="1" applyBorder="1" applyAlignment="1">
      <alignment horizontal="center"/>
    </xf>
    <xf numFmtId="180" fontId="4" fillId="4" borderId="13" xfId="0" applyFont="1" applyFill="1" applyBorder="1" applyAlignment="1">
      <alignment horizontal="center"/>
    </xf>
    <xf numFmtId="180" fontId="4" fillId="4" borderId="14" xfId="0" applyFont="1" applyFill="1" applyBorder="1" applyAlignment="1">
      <alignment horizontal="center"/>
    </xf>
    <xf numFmtId="180" fontId="0" fillId="4" borderId="17" xfId="0" applyFill="1" applyBorder="1" applyAlignment="1">
      <alignment horizontal="center"/>
    </xf>
    <xf numFmtId="180" fontId="0" fillId="4" borderId="15" xfId="0" applyFill="1" applyBorder="1" applyAlignment="1">
      <alignment horizontal="center"/>
    </xf>
    <xf numFmtId="180" fontId="1" fillId="0" borderId="17" xfId="0" applyFont="1" applyBorder="1" applyAlignment="1">
      <alignment horizontal="center" vertical="top" wrapText="1"/>
    </xf>
    <xf numFmtId="180" fontId="1" fillId="0" borderId="1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87"/>
  <sheetViews>
    <sheetView showGridLines="0" tabSelected="1" workbookViewId="0" topLeftCell="A1">
      <selection activeCell="B1" sqref="B1:G1"/>
    </sheetView>
  </sheetViews>
  <sheetFormatPr defaultColWidth="10.625" defaultRowHeight="12.75"/>
  <cols>
    <col min="1" max="1" width="23.625" style="0" customWidth="1"/>
    <col min="2" max="2" width="9.75390625" style="0" customWidth="1"/>
    <col min="3" max="3" width="9.50390625" style="0" customWidth="1"/>
    <col min="4" max="4" width="9.375" style="0" customWidth="1"/>
    <col min="5" max="5" width="8.00390625" style="0" customWidth="1"/>
    <col min="6" max="6" width="12.125" style="0" hidden="1" customWidth="1"/>
    <col min="7" max="7" width="24.375" style="0" customWidth="1"/>
    <col min="8" max="8" width="0.12890625" style="0" hidden="1" customWidth="1"/>
    <col min="9" max="11" width="0" style="0" hidden="1" customWidth="1"/>
    <col min="12" max="12" width="18.25390625" style="0" customWidth="1"/>
  </cols>
  <sheetData>
    <row r="1" spans="1:7" ht="30" customHeight="1">
      <c r="A1" s="176" t="s">
        <v>218</v>
      </c>
      <c r="B1" s="177"/>
      <c r="C1" s="177"/>
      <c r="D1" s="177"/>
      <c r="E1" s="177"/>
      <c r="F1" s="177"/>
      <c r="G1" s="177"/>
    </row>
    <row r="2" spans="1:7" ht="12.75">
      <c r="A2" s="6"/>
      <c r="B2" s="7"/>
      <c r="C2" s="6"/>
      <c r="D2" s="6"/>
      <c r="E2" s="6"/>
      <c r="F2" s="6"/>
      <c r="G2" s="6"/>
    </row>
    <row r="6" spans="1:7" ht="12.75">
      <c r="A6" s="6"/>
      <c r="B6" s="6"/>
      <c r="C6" s="8" t="s">
        <v>102</v>
      </c>
      <c r="D6" s="8"/>
      <c r="E6" s="8"/>
      <c r="F6" s="8"/>
      <c r="G6" s="6"/>
    </row>
    <row r="7" spans="1:7" ht="12.75">
      <c r="A7" s="9"/>
      <c r="B7" s="9"/>
      <c r="C7" s="56" t="s">
        <v>103</v>
      </c>
      <c r="D7" s="10"/>
      <c r="E7" s="10"/>
      <c r="F7" s="10"/>
      <c r="G7" s="6"/>
    </row>
    <row r="8" spans="1:7" ht="12.75">
      <c r="A8" s="9"/>
      <c r="B8" s="9"/>
      <c r="C8" s="8" t="s">
        <v>104</v>
      </c>
      <c r="D8" s="56"/>
      <c r="E8" s="10"/>
      <c r="F8" s="10"/>
      <c r="G8" s="6"/>
    </row>
    <row r="9" spans="1:7" ht="12.75">
      <c r="A9" s="9"/>
      <c r="B9" s="9"/>
      <c r="C9" s="10"/>
      <c r="D9" s="10"/>
      <c r="E9" s="10"/>
      <c r="F9" s="10"/>
      <c r="G9" s="6"/>
    </row>
    <row r="10" spans="1:7" ht="12.75">
      <c r="A10" s="191" t="s">
        <v>245</v>
      </c>
      <c r="B10" s="191"/>
      <c r="C10" s="191"/>
      <c r="D10" s="191"/>
      <c r="E10" s="191"/>
      <c r="F10" s="191"/>
      <c r="G10" s="191"/>
    </row>
    <row r="11" spans="1:7" ht="12.75">
      <c r="A11" s="178" t="s">
        <v>220</v>
      </c>
      <c r="B11" s="178"/>
      <c r="C11" s="178"/>
      <c r="D11" s="178"/>
      <c r="E11" s="178"/>
      <c r="F11" s="178"/>
      <c r="G11" s="178"/>
    </row>
    <row r="12" spans="1:5" ht="12.75">
      <c r="A12" s="6"/>
      <c r="E12" s="13" t="s">
        <v>110</v>
      </c>
    </row>
    <row r="15" spans="1:7" ht="15">
      <c r="A15" s="186" t="s">
        <v>219</v>
      </c>
      <c r="B15" s="186"/>
      <c r="C15" s="187"/>
      <c r="D15" s="185" t="e">
        <f>$D$153</f>
        <v>#DIV/0!</v>
      </c>
      <c r="E15" s="185"/>
      <c r="F15" s="152" t="s">
        <v>105</v>
      </c>
      <c r="G15" s="153"/>
    </row>
    <row r="16" spans="1:7" ht="12.75">
      <c r="A16" s="6"/>
      <c r="B16" s="11"/>
      <c r="C16" s="11"/>
      <c r="D16" s="13"/>
      <c r="E16" s="13"/>
      <c r="F16" s="13"/>
      <c r="G16" s="12"/>
    </row>
    <row r="17" spans="1:7" ht="12.75">
      <c r="A17" s="6"/>
      <c r="B17" s="12"/>
      <c r="C17" s="11"/>
      <c r="D17" s="6"/>
      <c r="E17" s="104"/>
      <c r="F17" s="104"/>
      <c r="G17" s="12"/>
    </row>
    <row r="18" spans="1:12" ht="26.25" customHeight="1">
      <c r="A18" s="189" t="s">
        <v>201</v>
      </c>
      <c r="B18" s="190"/>
      <c r="C18" s="190"/>
      <c r="D18" s="190"/>
      <c r="E18" s="190"/>
      <c r="F18" s="190"/>
      <c r="G18" s="190"/>
      <c r="H18" s="148"/>
      <c r="I18" s="148"/>
      <c r="J18" s="148"/>
      <c r="K18" s="148"/>
      <c r="L18" s="149"/>
    </row>
    <row r="19" spans="1:12" ht="26.25" customHeight="1">
      <c r="A19" s="182" t="s">
        <v>223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  <row r="20" spans="1:13" ht="12.75">
      <c r="A20" s="157" t="s">
        <v>203</v>
      </c>
      <c r="B20" s="121" t="str">
        <f>IF(B18&gt;1,"ERROR"," ")</f>
        <v> </v>
      </c>
      <c r="C20" s="122"/>
      <c r="D20" s="170" t="s">
        <v>208</v>
      </c>
      <c r="E20" s="169"/>
      <c r="F20" s="141"/>
      <c r="G20" s="158" t="s">
        <v>221</v>
      </c>
      <c r="H20" s="124"/>
      <c r="I20" s="141"/>
      <c r="J20" s="141"/>
      <c r="K20" s="141"/>
      <c r="L20" s="158" t="s">
        <v>222</v>
      </c>
      <c r="M20" s="171"/>
    </row>
    <row r="21" spans="1:13" ht="12.75">
      <c r="A21" s="123" t="str">
        <f>IF(RESIST=1,"High E Sheltered"," ")</f>
        <v> </v>
      </c>
      <c r="B21" s="122"/>
      <c r="C21" s="122"/>
      <c r="D21" s="123" t="str">
        <f>IF(C118&gt;=1,"Common brick"," ")</f>
        <v> </v>
      </c>
      <c r="E21" s="124"/>
      <c r="F21" s="124"/>
      <c r="G21" s="124" t="str">
        <f>IF(C118&gt;0,C118," ")</f>
        <v> </v>
      </c>
      <c r="H21" s="151" t="str">
        <f>IF(C118&gt;0,C118," ")</f>
        <v> </v>
      </c>
      <c r="I21" s="124"/>
      <c r="J21" s="124"/>
      <c r="K21" s="124"/>
      <c r="L21" s="151" t="str">
        <f>IF(C118&gt;0,'k-value inner leaf'!G47," ")</f>
        <v> </v>
      </c>
      <c r="M21" s="12"/>
    </row>
    <row r="22" spans="1:13" ht="12.75">
      <c r="A22" s="123" t="str">
        <f>IF(D75=1,"High E Moderate"," ")</f>
        <v> </v>
      </c>
      <c r="B22" s="122"/>
      <c r="C22" s="122"/>
      <c r="D22" s="123" t="str">
        <f>IF(C119&gt;=1,"Concrete block"," ")</f>
        <v> </v>
      </c>
      <c r="E22" s="124"/>
      <c r="F22" s="124"/>
      <c r="G22" s="124" t="str">
        <f>IF(C119&gt;0,C119," ")</f>
        <v> </v>
      </c>
      <c r="H22" s="151"/>
      <c r="I22" s="124"/>
      <c r="J22" s="124"/>
      <c r="K22" s="124"/>
      <c r="L22" s="151" t="str">
        <f>IF(C119&gt;0,'k-value inner leaf'!G31," ")</f>
        <v> </v>
      </c>
      <c r="M22" s="12"/>
    </row>
    <row r="23" spans="1:13" ht="12.75">
      <c r="A23" s="123" t="str">
        <f>IF(D76=1,"High E Severe"," ")</f>
        <v> </v>
      </c>
      <c r="B23" s="122"/>
      <c r="C23" s="122"/>
      <c r="D23" s="123" t="str">
        <f>IF(C120&gt;=1,"Concrete block a.a.c."," ")</f>
        <v> </v>
      </c>
      <c r="E23" s="124"/>
      <c r="F23" s="124"/>
      <c r="G23" s="124" t="str">
        <f>IF(C120&gt;0,C120," ")</f>
        <v> </v>
      </c>
      <c r="H23" s="151"/>
      <c r="I23" s="124"/>
      <c r="J23" s="124"/>
      <c r="K23" s="124"/>
      <c r="L23" s="151" t="str">
        <f>IF(C120&gt;0,B120," ")</f>
        <v> </v>
      </c>
      <c r="M23" s="6"/>
    </row>
    <row r="24" spans="1:13" ht="12.75">
      <c r="A24" s="123" t="str">
        <f>IF(D79=1,"Low E Sheltered"," ")</f>
        <v> </v>
      </c>
      <c r="B24" s="122"/>
      <c r="C24" s="122"/>
      <c r="D24" s="123"/>
      <c r="E24" s="124"/>
      <c r="F24" s="124"/>
      <c r="G24" s="124"/>
      <c r="H24" s="151"/>
      <c r="I24" s="124"/>
      <c r="J24" s="124"/>
      <c r="K24" s="124"/>
      <c r="L24" s="151"/>
      <c r="M24" s="12"/>
    </row>
    <row r="25" spans="1:13" ht="12.75">
      <c r="A25" s="123" t="str">
        <f>IF(D80=1,"Low E Moderate"," ")</f>
        <v> </v>
      </c>
      <c r="B25" s="122"/>
      <c r="C25" s="122"/>
      <c r="D25" s="123" t="str">
        <f>IF(C120&gt;=1,"Concrete blocks -- aac"," ")</f>
        <v> </v>
      </c>
      <c r="E25" s="124"/>
      <c r="F25" s="124"/>
      <c r="G25" s="124"/>
      <c r="H25" s="151" t="str">
        <f>IF(C120&gt;0,C120," ")</f>
        <v> </v>
      </c>
      <c r="I25" s="124"/>
      <c r="J25" s="124"/>
      <c r="K25" s="124"/>
      <c r="L25" s="151" t="str">
        <f>IF(C120&gt;0,C120," ")</f>
        <v> </v>
      </c>
      <c r="M25" s="12"/>
    </row>
    <row r="26" spans="1:13" ht="12.75">
      <c r="A26" s="123" t="str">
        <f>IF(D81=1,"Low E Severe"," ")</f>
        <v> </v>
      </c>
      <c r="B26" s="122"/>
      <c r="C26" s="122"/>
      <c r="D26" s="170" t="s">
        <v>210</v>
      </c>
      <c r="E26" s="170"/>
      <c r="F26" s="141"/>
      <c r="G26" s="141"/>
      <c r="H26" s="141"/>
      <c r="I26" s="141"/>
      <c r="J26" s="141"/>
      <c r="K26" s="141"/>
      <c r="L26" s="158" t="s">
        <v>221</v>
      </c>
      <c r="M26" s="171"/>
    </row>
    <row r="27" spans="1:12" ht="12.75">
      <c r="A27" s="157" t="s">
        <v>204</v>
      </c>
      <c r="B27" s="124"/>
      <c r="C27" s="122"/>
      <c r="D27" s="141" t="str">
        <f>IF(C122&gt;=1,"Plywood sheathing"," ")</f>
        <v> </v>
      </c>
      <c r="E27" s="124"/>
      <c r="F27" s="124"/>
      <c r="G27" s="124"/>
      <c r="H27" s="151" t="str">
        <f>IF(C122&gt;0,C122," ")</f>
        <v> </v>
      </c>
      <c r="I27" s="124"/>
      <c r="J27" s="124"/>
      <c r="K27" s="124"/>
      <c r="L27" s="151" t="str">
        <f>IF(C122&gt;0,C122," ")</f>
        <v> </v>
      </c>
    </row>
    <row r="28" spans="1:12" ht="12.75">
      <c r="A28" s="123" t="str">
        <f>IF(D85=1,"High E"," ")</f>
        <v> </v>
      </c>
      <c r="B28" s="122"/>
      <c r="C28" s="122"/>
      <c r="D28" s="141" t="str">
        <f>IF(C123&gt;=1,"OSB sheathing"," ")</f>
        <v> </v>
      </c>
      <c r="E28" s="124"/>
      <c r="F28" s="124"/>
      <c r="G28" s="124"/>
      <c r="H28" s="151" t="str">
        <f>IF(C123&gt;0,C123," ")</f>
        <v> </v>
      </c>
      <c r="I28" s="124"/>
      <c r="J28" s="124"/>
      <c r="K28" s="124"/>
      <c r="L28" s="151" t="str">
        <f>IF(C123&gt;0,C123," ")</f>
        <v> </v>
      </c>
    </row>
    <row r="29" spans="1:12" ht="12.75">
      <c r="A29" s="123" t="str">
        <f>IF(D86=1,"Low E"," ")</f>
        <v> </v>
      </c>
      <c r="B29" s="122"/>
      <c r="C29" s="122"/>
      <c r="D29" s="141" t="str">
        <f>IF(C125&gt;=1,"Medium hrdbrd"," ")</f>
        <v> </v>
      </c>
      <c r="E29" s="124"/>
      <c r="F29" s="124"/>
      <c r="G29" s="124"/>
      <c r="H29" s="151" t="str">
        <f>IF(C125&gt;0,C125," ")</f>
        <v> </v>
      </c>
      <c r="I29" s="124"/>
      <c r="J29" s="124"/>
      <c r="K29" s="124"/>
      <c r="L29" s="151" t="str">
        <f>IF(C125&gt;0,C125," ")</f>
        <v> </v>
      </c>
    </row>
    <row r="30" spans="1:12" ht="30" customHeight="1">
      <c r="A30" s="157" t="s">
        <v>205</v>
      </c>
      <c r="B30" s="158" t="s">
        <v>221</v>
      </c>
      <c r="C30" s="158" t="s">
        <v>222</v>
      </c>
      <c r="D30" s="141" t="str">
        <f>IF(C126&gt;=1,"Standard hrdbrd"," ")</f>
        <v> </v>
      </c>
      <c r="E30" s="124"/>
      <c r="F30" s="124"/>
      <c r="G30" s="124"/>
      <c r="H30" s="151" t="str">
        <f>IF(C126&gt;0,C126," ")</f>
        <v> </v>
      </c>
      <c r="I30" s="124"/>
      <c r="J30" s="124"/>
      <c r="K30" s="124"/>
      <c r="L30" s="151" t="str">
        <f>IF(C126&gt;0,C126," ")</f>
        <v> </v>
      </c>
    </row>
    <row r="31" spans="1:12" ht="12.75">
      <c r="A31" s="123" t="str">
        <f>IF(C93&gt;0,"Cement render"," ")</f>
        <v> </v>
      </c>
      <c r="B31" s="122" t="str">
        <f aca="true" t="shared" si="0" ref="B31:B36">IF(C93&gt;0,C93," ")</f>
        <v> </v>
      </c>
      <c r="C31" s="122"/>
      <c r="D31" s="141" t="str">
        <f>IF(C129&gt;=1,"Low E void at dry lining"," ")</f>
        <v> </v>
      </c>
      <c r="E31" s="124"/>
      <c r="F31" s="125"/>
      <c r="G31" s="125"/>
      <c r="H31" s="151" t="str">
        <f>IF(C129&gt;0,C129," ")</f>
        <v> </v>
      </c>
      <c r="I31" s="124"/>
      <c r="J31" s="124"/>
      <c r="K31" s="124"/>
      <c r="L31" s="151" t="str">
        <f>IF(C129&gt;0,C129," ")</f>
        <v> </v>
      </c>
    </row>
    <row r="32" spans="1:12" ht="12.75">
      <c r="A32" s="123" t="str">
        <f>IF(C94&gt;0,"Cem/lime render"," ")</f>
        <v> </v>
      </c>
      <c r="B32" s="122" t="str">
        <f t="shared" si="0"/>
        <v> </v>
      </c>
      <c r="C32" s="122"/>
      <c r="D32" s="141" t="str">
        <f>IF(C130&gt;=1,"High E void at dry lining"," ")</f>
        <v> </v>
      </c>
      <c r="E32" s="124"/>
      <c r="F32" s="125"/>
      <c r="G32" s="125"/>
      <c r="H32" s="151" t="str">
        <f>IF(C130&gt;0,C130," ")</f>
        <v> </v>
      </c>
      <c r="I32" s="124"/>
      <c r="J32" s="124"/>
      <c r="K32" s="124"/>
      <c r="L32" s="151" t="str">
        <f>IF(C130&gt;0,C130," ")</f>
        <v> </v>
      </c>
    </row>
    <row r="33" spans="1:12" ht="12.75">
      <c r="A33" s="123" t="str">
        <f>IF(C95&gt;0,"Tile hanging"," ")</f>
        <v> </v>
      </c>
      <c r="B33" s="122" t="str">
        <f t="shared" si="0"/>
        <v> </v>
      </c>
      <c r="C33" s="122"/>
      <c r="D33" s="141" t="str">
        <f>IF(C133&gt;=1,"Fibreglass quilt"," ")</f>
        <v> </v>
      </c>
      <c r="E33" s="124"/>
      <c r="F33" s="125"/>
      <c r="G33" s="125"/>
      <c r="H33" s="151" t="str">
        <f>IF(C133&gt;0,C133," ")</f>
        <v> </v>
      </c>
      <c r="I33" s="124"/>
      <c r="J33" s="124"/>
      <c r="K33" s="124"/>
      <c r="L33" s="151" t="str">
        <f>IF(C133&gt;0,C133," ")</f>
        <v> </v>
      </c>
    </row>
    <row r="34" spans="1:12" ht="12.75">
      <c r="A34" s="123" t="str">
        <f>IF(C96=1,"Felt/membrane backing"," ")</f>
        <v> </v>
      </c>
      <c r="B34" s="122" t="str">
        <f t="shared" si="0"/>
        <v> </v>
      </c>
      <c r="C34" s="122"/>
      <c r="D34" s="141" t="str">
        <f>IF(C134&gt;=1,"polystyrene beadboard"," ")</f>
        <v> </v>
      </c>
      <c r="E34" s="124"/>
      <c r="F34" s="125"/>
      <c r="G34" s="125"/>
      <c r="H34" s="151" t="str">
        <f>IF(C134&gt;0,C134," ")</f>
        <v> </v>
      </c>
      <c r="I34" s="124"/>
      <c r="J34" s="124"/>
      <c r="K34" s="124"/>
      <c r="L34" s="151" t="str">
        <f>IF(C134&gt;0,C134," ")</f>
        <v> </v>
      </c>
    </row>
    <row r="35" spans="1:12" ht="12.75">
      <c r="A35" s="123" t="str">
        <f>IF(C97&gt;0,"Timber weatherboarding"," ")</f>
        <v> </v>
      </c>
      <c r="B35" s="122" t="str">
        <f t="shared" si="0"/>
        <v> </v>
      </c>
      <c r="C35" s="122"/>
      <c r="D35" s="141"/>
      <c r="E35" s="124"/>
      <c r="F35" s="125"/>
      <c r="G35" s="125"/>
      <c r="H35" s="151"/>
      <c r="I35" s="124"/>
      <c r="J35" s="124"/>
      <c r="K35" s="124"/>
      <c r="L35" s="151"/>
    </row>
    <row r="36" spans="1:12" ht="12.75">
      <c r="A36" s="123" t="str">
        <f>IF(C98=1,"High E cavity at tiles/boarding"," ")</f>
        <v> </v>
      </c>
      <c r="B36" s="122" t="str">
        <f t="shared" si="0"/>
        <v> </v>
      </c>
      <c r="C36" s="122"/>
      <c r="D36" s="141" t="str">
        <f>IF(C135&gt;=1,"polystyrene extr."," ")</f>
        <v> </v>
      </c>
      <c r="E36" s="124"/>
      <c r="F36" s="125"/>
      <c r="G36" s="125"/>
      <c r="H36" s="151" t="str">
        <f>IF(C135&gt;0,C135," ")</f>
        <v> </v>
      </c>
      <c r="I36" s="124"/>
      <c r="J36" s="124"/>
      <c r="K36" s="124"/>
      <c r="L36" s="151" t="str">
        <f>IF(C135&gt;0,C135," ")</f>
        <v> </v>
      </c>
    </row>
    <row r="37" spans="1:12" ht="12.75">
      <c r="A37" s="159" t="s">
        <v>209</v>
      </c>
      <c r="B37" s="122"/>
      <c r="C37" s="147"/>
      <c r="D37" s="141" t="str">
        <f>IF(C137&gt;=1,"timber stud"," ")</f>
        <v> </v>
      </c>
      <c r="E37" s="124"/>
      <c r="F37" s="125"/>
      <c r="G37" s="125"/>
      <c r="H37" s="151" t="str">
        <f>IF(C137&gt;0,C137," ")</f>
        <v> </v>
      </c>
      <c r="I37" s="124"/>
      <c r="J37" s="124"/>
      <c r="K37" s="124"/>
      <c r="L37" s="151" t="str">
        <f>IF(C137&gt;0,C137," ")</f>
        <v> </v>
      </c>
    </row>
    <row r="38" spans="1:12" ht="12.75">
      <c r="A38" s="123" t="str">
        <f>IF(C101=1,"Stone"," ")</f>
        <v> </v>
      </c>
      <c r="B38" s="122" t="str">
        <f>IF(C101&gt;0,C101," ")</f>
        <v> </v>
      </c>
      <c r="C38" s="122" t="str">
        <f>IF(B38&gt;0,'k-Value outerleaf'!G77," ")</f>
        <v> </v>
      </c>
      <c r="D38" s="179" t="s">
        <v>212</v>
      </c>
      <c r="E38" s="180"/>
      <c r="F38" s="180"/>
      <c r="G38" s="180"/>
      <c r="H38" s="180"/>
      <c r="I38" s="180"/>
      <c r="J38" s="180"/>
      <c r="K38" s="180"/>
      <c r="L38" s="181"/>
    </row>
    <row r="39" spans="1:12" ht="12.75">
      <c r="A39" s="123" t="str">
        <f>IF(C102=1,"Brick"," ")</f>
        <v> </v>
      </c>
      <c r="B39" s="122" t="str">
        <f>IF(C102&gt;0,C102," ")</f>
        <v> </v>
      </c>
      <c r="C39" s="122" t="str">
        <f>IF(B39&gt;0,'k-Value outerleaf'!G47," ")</f>
        <v> </v>
      </c>
      <c r="D39" s="141" t="str">
        <f>IF(C141&gt;=1,"Plain plaster/brd"," ")</f>
        <v> </v>
      </c>
      <c r="E39" s="124"/>
      <c r="F39" s="125"/>
      <c r="G39" s="125"/>
      <c r="H39" s="151" t="str">
        <f>IF(C141&gt;0,C141," ")</f>
        <v> </v>
      </c>
      <c r="I39" s="124"/>
      <c r="J39" s="124"/>
      <c r="K39" s="124"/>
      <c r="L39" s="151" t="str">
        <f>IF(C141&gt;0,C141," ")</f>
        <v> </v>
      </c>
    </row>
    <row r="40" spans="1:12" ht="12.75">
      <c r="A40" s="123" t="str">
        <f>IF(C103&gt;0,"Concrete Block"," ")</f>
        <v> </v>
      </c>
      <c r="B40" s="122" t="str">
        <f>IF(C103&gt;0,C103," ")</f>
        <v> </v>
      </c>
      <c r="C40" s="122" t="str">
        <f>IF(B40&gt;0,'k-Value outerleaf'!G31," ")</f>
        <v> </v>
      </c>
      <c r="D40" s="141" t="str">
        <f>IF(C142&gt;=1,"Foil backed plaster/brd"," ")</f>
        <v> </v>
      </c>
      <c r="E40" s="124"/>
      <c r="F40" s="125"/>
      <c r="G40" s="125"/>
      <c r="H40" s="151" t="str">
        <f>IF(C142&gt;0,C142," ")</f>
        <v> </v>
      </c>
      <c r="I40" s="124"/>
      <c r="J40" s="124"/>
      <c r="K40" s="124"/>
      <c r="L40" s="151" t="str">
        <f>IF(C142&gt;0,C142," ")</f>
        <v> </v>
      </c>
    </row>
    <row r="41" spans="1:12" ht="12.75">
      <c r="A41" s="157" t="s">
        <v>206</v>
      </c>
      <c r="B41" s="160">
        <f>C106+C107</f>
        <v>0</v>
      </c>
      <c r="C41" s="122"/>
      <c r="D41" s="141" t="str">
        <f>IF(C143&gt;=1,"Timber lining"," ")</f>
        <v> </v>
      </c>
      <c r="E41" s="172"/>
      <c r="F41" s="172"/>
      <c r="G41" s="172"/>
      <c r="H41" s="172"/>
      <c r="I41" s="172"/>
      <c r="J41" s="172"/>
      <c r="K41" s="172"/>
      <c r="L41" s="151" t="str">
        <f>IF(C143&gt;0,C143," ")</f>
        <v> </v>
      </c>
    </row>
    <row r="42" spans="1:12" ht="12.75">
      <c r="A42" s="123" t="str">
        <f>IF(C106=1,"High E cavity","  ")</f>
        <v>  </v>
      </c>
      <c r="B42" s="126" t="str">
        <f>IF(B41=0,"Fill cavity with insulation"," ")</f>
        <v>Fill cavity with insulation</v>
      </c>
      <c r="C42" s="122"/>
      <c r="D42" s="141" t="str">
        <f>IF(C$144&gt;=1,"Carlite plaster"," ")</f>
        <v> </v>
      </c>
      <c r="E42" s="124"/>
      <c r="F42" s="125"/>
      <c r="G42" s="125"/>
      <c r="H42" s="151" t="str">
        <f>IF(C144&gt;0,C144," ")</f>
        <v> </v>
      </c>
      <c r="I42" s="124"/>
      <c r="J42" s="124"/>
      <c r="K42" s="124"/>
      <c r="L42" s="151" t="str">
        <f>IF(C$144&gt;0,C$144," ")</f>
        <v> </v>
      </c>
    </row>
    <row r="43" spans="1:12" ht="12.75">
      <c r="A43" s="123" t="str">
        <f>IF(C107=1,"Low E cavity"," ")</f>
        <v> </v>
      </c>
      <c r="B43" s="126" t="str">
        <f>IF(B41=0,"Fill cavity with insulation"," ")</f>
        <v>Fill cavity with insulation</v>
      </c>
      <c r="C43" s="122"/>
      <c r="D43" s="141" t="str">
        <f>IF(C$145&gt;=1,"Thistle plaster"," ")</f>
        <v> </v>
      </c>
      <c r="E43" s="124"/>
      <c r="F43" s="125"/>
      <c r="G43" s="125"/>
      <c r="H43" s="151" t="str">
        <f>IF(C145&gt;0,C145," ")</f>
        <v> </v>
      </c>
      <c r="I43" s="124"/>
      <c r="J43" s="124"/>
      <c r="K43" s="124"/>
      <c r="L43" s="151" t="str">
        <f>IF(C$145&gt;0,C$145," ")</f>
        <v> </v>
      </c>
    </row>
    <row r="44" spans="1:12" ht="12.75">
      <c r="A44" s="157" t="s">
        <v>207</v>
      </c>
      <c r="B44" s="126"/>
      <c r="C44" s="122"/>
      <c r="D44" s="141"/>
      <c r="E44" s="124"/>
      <c r="F44" s="125"/>
      <c r="G44" s="125"/>
      <c r="H44" s="144"/>
      <c r="I44" s="124"/>
      <c r="J44" s="124"/>
      <c r="K44" s="124"/>
      <c r="L44" s="151"/>
    </row>
    <row r="45" spans="1:12" ht="12.75">
      <c r="A45" s="123" t="str">
        <f>IF(C110&gt;=1,"Fibreglass batt"," ")</f>
        <v> </v>
      </c>
      <c r="B45" s="122" t="str">
        <f aca="true" t="shared" si="1" ref="B45:B50">IF(C110&gt;0,C110," ")</f>
        <v> </v>
      </c>
      <c r="C45" s="122"/>
      <c r="D45" s="142"/>
      <c r="E45" s="124"/>
      <c r="F45" s="125"/>
      <c r="G45" s="125"/>
      <c r="H45" s="145"/>
      <c r="I45" s="124"/>
      <c r="J45" s="124"/>
      <c r="K45" s="124"/>
      <c r="L45" s="151"/>
    </row>
    <row r="46" spans="1:12" ht="12.75">
      <c r="A46" s="123" t="str">
        <f>IF(C111&gt;=1,"Polystyrene bd/brd"," ")</f>
        <v> </v>
      </c>
      <c r="B46" s="122" t="str">
        <f t="shared" si="1"/>
        <v> </v>
      </c>
      <c r="C46" s="122"/>
      <c r="D46" s="142"/>
      <c r="E46" s="124"/>
      <c r="F46" s="125"/>
      <c r="G46" s="125"/>
      <c r="H46" s="145"/>
      <c r="I46" s="124"/>
      <c r="J46" s="124"/>
      <c r="K46" s="124"/>
      <c r="L46" s="151"/>
    </row>
    <row r="47" spans="1:12" ht="12.75">
      <c r="A47" s="123" t="str">
        <f>IF(C112&gt;=1,"Extr polystyrene"," ")</f>
        <v> </v>
      </c>
      <c r="B47" s="122" t="str">
        <f t="shared" si="1"/>
        <v> </v>
      </c>
      <c r="C47" s="122"/>
      <c r="D47" s="142"/>
      <c r="E47" s="124"/>
      <c r="F47" s="125"/>
      <c r="G47" s="125"/>
      <c r="H47" s="145"/>
      <c r="I47" s="124"/>
      <c r="J47" s="124"/>
      <c r="K47" s="124"/>
      <c r="L47" s="151"/>
    </row>
    <row r="48" spans="1:12" ht="12.75">
      <c r="A48" s="123" t="str">
        <f>IF(C113&gt;=1,"Polystyrene beads"," ")</f>
        <v> </v>
      </c>
      <c r="B48" s="122" t="str">
        <f t="shared" si="1"/>
        <v> </v>
      </c>
      <c r="C48" s="122"/>
      <c r="D48" s="142"/>
      <c r="E48" s="124"/>
      <c r="F48" s="125"/>
      <c r="G48" s="125"/>
      <c r="H48" s="145"/>
      <c r="I48" s="124"/>
      <c r="J48" s="124"/>
      <c r="K48" s="124"/>
      <c r="L48" s="151"/>
    </row>
    <row r="49" spans="1:12" ht="12.75">
      <c r="A49" s="123" t="str">
        <f>IF(C114&gt;=1,"Blown rockwool"," ")</f>
        <v> </v>
      </c>
      <c r="B49" s="122" t="str">
        <f t="shared" si="1"/>
        <v> </v>
      </c>
      <c r="C49" s="122"/>
      <c r="D49" s="142"/>
      <c r="E49" s="124"/>
      <c r="F49" s="125"/>
      <c r="G49" s="125"/>
      <c r="H49" s="145"/>
      <c r="I49" s="124"/>
      <c r="J49" s="124"/>
      <c r="K49" s="124"/>
      <c r="L49" s="151"/>
    </row>
    <row r="50" spans="1:12" ht="12.75">
      <c r="A50" s="123" t="str">
        <f>IF(C115&gt;=1,"Urethene foam"," ")</f>
        <v> </v>
      </c>
      <c r="B50" s="122" t="str">
        <f t="shared" si="1"/>
        <v> </v>
      </c>
      <c r="C50" s="122"/>
      <c r="D50" s="142"/>
      <c r="E50" s="124"/>
      <c r="F50" s="125"/>
      <c r="G50" s="125"/>
      <c r="H50" s="145"/>
      <c r="I50" s="124"/>
      <c r="J50" s="124"/>
      <c r="K50" s="124"/>
      <c r="L50" s="151"/>
    </row>
    <row r="51" spans="1:12" ht="12.75">
      <c r="A51" s="127"/>
      <c r="B51" s="128"/>
      <c r="C51" s="150"/>
      <c r="D51" s="143"/>
      <c r="E51" s="129"/>
      <c r="F51" s="130"/>
      <c r="G51" s="130"/>
      <c r="H51" s="146"/>
      <c r="I51" s="129"/>
      <c r="J51" s="129"/>
      <c r="K51" s="129"/>
      <c r="L51" s="167"/>
    </row>
    <row r="52" spans="1:7" ht="12.75">
      <c r="A52" s="131"/>
      <c r="B52" s="132"/>
      <c r="C52" s="133"/>
      <c r="D52" s="134"/>
      <c r="E52" s="135"/>
      <c r="F52" s="135"/>
      <c r="G52" s="136"/>
    </row>
    <row r="53" spans="1:7" ht="12.75">
      <c r="A53" s="6"/>
      <c r="B53" s="188" t="s">
        <v>202</v>
      </c>
      <c r="C53" s="188"/>
      <c r="D53" s="188"/>
      <c r="E53" s="188"/>
      <c r="F53" s="188"/>
      <c r="G53" s="12"/>
    </row>
    <row r="54" spans="1:7" ht="12.75">
      <c r="A54" s="13" t="s">
        <v>106</v>
      </c>
      <c r="C54" s="6"/>
      <c r="D54" s="6"/>
      <c r="E54" s="6"/>
      <c r="F54" s="6"/>
      <c r="G54" s="12"/>
    </row>
    <row r="55" spans="1:7" ht="12.75">
      <c r="A55" s="14" t="s">
        <v>107</v>
      </c>
      <c r="C55" s="6"/>
      <c r="D55" s="17"/>
      <c r="E55" s="17"/>
      <c r="F55" s="12"/>
      <c r="G55" s="12"/>
    </row>
    <row r="56" spans="1:7" ht="12.75">
      <c r="A56" s="13" t="s">
        <v>108</v>
      </c>
      <c r="C56" s="6"/>
      <c r="D56" s="6"/>
      <c r="E56" s="6"/>
      <c r="F56" s="12"/>
      <c r="G56" s="12"/>
    </row>
    <row r="57" spans="1:7" ht="12.75">
      <c r="A57" s="13" t="s">
        <v>214</v>
      </c>
      <c r="C57" s="6"/>
      <c r="D57" s="6"/>
      <c r="E57" s="6"/>
      <c r="F57" s="12"/>
      <c r="G57" s="12"/>
    </row>
    <row r="58" spans="1:7" ht="12.75">
      <c r="A58" s="138" t="s">
        <v>215</v>
      </c>
      <c r="C58" s="12"/>
      <c r="D58" s="6"/>
      <c r="E58" s="6"/>
      <c r="F58" s="6"/>
      <c r="G58" s="12"/>
    </row>
    <row r="59" spans="1:7" ht="12.75">
      <c r="A59" s="14" t="s">
        <v>200</v>
      </c>
      <c r="C59" s="6"/>
      <c r="D59" s="6"/>
      <c r="E59" s="6"/>
      <c r="F59" s="6"/>
      <c r="G59" s="12"/>
    </row>
    <row r="60" spans="1:7" ht="12.75">
      <c r="A60" s="14" t="s">
        <v>199</v>
      </c>
      <c r="C60" s="6"/>
      <c r="D60" s="6"/>
      <c r="E60" s="6"/>
      <c r="F60" s="6"/>
      <c r="G60" s="12"/>
    </row>
    <row r="61" spans="1:7" ht="12.75">
      <c r="A61" s="14" t="s">
        <v>109</v>
      </c>
      <c r="C61" s="11"/>
      <c r="D61" s="11"/>
      <c r="E61" s="11"/>
      <c r="F61" s="11"/>
      <c r="G61" s="12"/>
    </row>
    <row r="62" spans="1:7" ht="12.75">
      <c r="A62" s="14" t="s">
        <v>216</v>
      </c>
      <c r="C62" s="11"/>
      <c r="D62" s="11"/>
      <c r="E62" s="11"/>
      <c r="F62" s="11"/>
      <c r="G62" s="12"/>
    </row>
    <row r="63" spans="1:7" ht="12.75">
      <c r="A63" s="14" t="s">
        <v>246</v>
      </c>
      <c r="B63" s="120"/>
      <c r="C63" s="11"/>
      <c r="D63" s="11"/>
      <c r="E63" s="11"/>
      <c r="F63" s="11"/>
      <c r="G63" s="12"/>
    </row>
    <row r="64" spans="1:7" ht="12.75">
      <c r="A64" s="14" t="s">
        <v>217</v>
      </c>
      <c r="B64" s="11"/>
      <c r="C64" s="11"/>
      <c r="F64" s="13"/>
      <c r="G64" s="12"/>
    </row>
    <row r="65" spans="1:7" ht="12.75">
      <c r="A65" s="23"/>
      <c r="B65" s="11"/>
      <c r="C65" s="11"/>
      <c r="E65" s="13"/>
      <c r="F65" s="13"/>
      <c r="G65" s="12"/>
    </row>
    <row r="66" spans="1:7" ht="12.75">
      <c r="A66" s="23"/>
      <c r="B66" s="11"/>
      <c r="C66" s="11"/>
      <c r="F66" s="13"/>
      <c r="G66" s="12"/>
    </row>
    <row r="67" spans="1:7" ht="12.75">
      <c r="A67" s="23"/>
      <c r="B67" s="11"/>
      <c r="C67" s="11"/>
      <c r="E67" s="13"/>
      <c r="F67" s="13"/>
      <c r="G67" s="12"/>
    </row>
    <row r="68" spans="1:14" ht="21" customHeight="1">
      <c r="A68" s="192" t="s">
        <v>213</v>
      </c>
      <c r="B68" s="192"/>
      <c r="C68" s="192"/>
      <c r="D68" s="192"/>
      <c r="E68" s="192"/>
      <c r="F68" s="192"/>
      <c r="G68" s="192"/>
      <c r="N68" s="137"/>
    </row>
    <row r="69" spans="1:7" ht="12.75">
      <c r="A69" s="119"/>
      <c r="B69" s="118"/>
      <c r="C69" s="11"/>
      <c r="D69" s="11"/>
      <c r="E69" s="13"/>
      <c r="F69" s="13"/>
      <c r="G69" s="13"/>
    </row>
    <row r="70" spans="1:7" ht="12.75">
      <c r="A70" s="15" t="s">
        <v>111</v>
      </c>
      <c r="B70" s="15"/>
      <c r="C70" s="15"/>
      <c r="D70" s="15"/>
      <c r="E70" s="12"/>
      <c r="F70" s="12"/>
      <c r="G70" s="6"/>
    </row>
    <row r="71" spans="1:7" ht="12.75">
      <c r="A71" s="6"/>
      <c r="B71" s="6"/>
      <c r="C71" s="16" t="s">
        <v>112</v>
      </c>
      <c r="D71" s="17"/>
      <c r="E71" s="17"/>
      <c r="F71" s="17"/>
      <c r="G71" s="17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12" t="s">
        <v>113</v>
      </c>
      <c r="B73" s="12"/>
      <c r="C73" s="52" t="s">
        <v>114</v>
      </c>
      <c r="D73" s="6"/>
      <c r="E73" s="6"/>
      <c r="F73" s="6"/>
      <c r="G73" s="6"/>
    </row>
    <row r="74" spans="1:7" ht="12.75">
      <c r="A74" s="12" t="s">
        <v>115</v>
      </c>
      <c r="B74" s="12"/>
      <c r="C74" s="18">
        <v>0.08</v>
      </c>
      <c r="D74" s="29"/>
      <c r="E74" s="18">
        <f>$C$74*RESIST</f>
        <v>0</v>
      </c>
      <c r="F74" s="18"/>
      <c r="G74" s="14" t="s">
        <v>116</v>
      </c>
    </row>
    <row r="75" spans="1:7" ht="12.75">
      <c r="A75" s="12" t="s">
        <v>117</v>
      </c>
      <c r="B75" s="12"/>
      <c r="C75" s="18">
        <v>0.055</v>
      </c>
      <c r="D75" s="29"/>
      <c r="E75" s="18">
        <f>+$C$75*$D$75</f>
        <v>0</v>
      </c>
      <c r="F75" s="18"/>
      <c r="G75" s="14" t="s">
        <v>118</v>
      </c>
    </row>
    <row r="76" spans="1:7" ht="12.75">
      <c r="A76" s="12" t="s">
        <v>119</v>
      </c>
      <c r="B76" s="12"/>
      <c r="C76" s="18">
        <v>0.03</v>
      </c>
      <c r="D76" s="29"/>
      <c r="E76" s="18">
        <f>+$C$76*$D$76</f>
        <v>0</v>
      </c>
      <c r="F76" s="18"/>
      <c r="G76" s="14" t="s">
        <v>120</v>
      </c>
    </row>
    <row r="77" spans="1:7" ht="12.75">
      <c r="A77" s="6"/>
      <c r="B77" s="6"/>
      <c r="C77" s="19"/>
      <c r="D77" s="6"/>
      <c r="E77" s="19"/>
      <c r="F77" s="19"/>
      <c r="G77" s="14"/>
    </row>
    <row r="78" spans="1:7" ht="12.75">
      <c r="A78" s="12" t="s">
        <v>121</v>
      </c>
      <c r="B78" s="12"/>
      <c r="C78" s="19"/>
      <c r="D78" s="6"/>
      <c r="E78" s="19"/>
      <c r="F78" s="19"/>
      <c r="G78" s="14" t="s">
        <v>122</v>
      </c>
    </row>
    <row r="79" spans="1:7" ht="12.75">
      <c r="A79" s="12" t="s">
        <v>123</v>
      </c>
      <c r="B79" s="12"/>
      <c r="C79" s="18">
        <v>0.11</v>
      </c>
      <c r="D79" s="29"/>
      <c r="E79" s="18">
        <f>+$C$79*$D$79</f>
        <v>0</v>
      </c>
      <c r="F79" s="18"/>
      <c r="G79" s="14" t="s">
        <v>124</v>
      </c>
    </row>
    <row r="80" spans="1:7" ht="12.75">
      <c r="A80" s="12" t="s">
        <v>125</v>
      </c>
      <c r="B80" s="12"/>
      <c r="C80" s="18">
        <v>0.067</v>
      </c>
      <c r="D80" s="29"/>
      <c r="E80" s="18">
        <f>+$C$80*$D$80</f>
        <v>0</v>
      </c>
      <c r="F80" s="18"/>
      <c r="G80" s="14"/>
    </row>
    <row r="81" spans="1:7" ht="12.75">
      <c r="A81" s="12" t="s">
        <v>126</v>
      </c>
      <c r="B81" s="12"/>
      <c r="C81" s="18">
        <v>0.03</v>
      </c>
      <c r="D81" s="29"/>
      <c r="E81" s="18">
        <f>+$C$81*$D$81</f>
        <v>0</v>
      </c>
      <c r="F81" s="18"/>
      <c r="G81" s="165">
        <f>SUM(E74:E81)</f>
        <v>0</v>
      </c>
    </row>
    <row r="82" spans="1:7" ht="12.75">
      <c r="A82" s="6"/>
      <c r="B82" s="6"/>
      <c r="C82" s="19"/>
      <c r="D82" s="6"/>
      <c r="E82" s="19"/>
      <c r="F82" s="19"/>
      <c r="G82" s="20" t="str">
        <f>IF(H162&lt;&gt;1,"ERROR**","              OK")</f>
        <v>ERROR**</v>
      </c>
    </row>
    <row r="83" spans="1:7" ht="12.75">
      <c r="A83" s="15" t="s">
        <v>127</v>
      </c>
      <c r="B83" s="15"/>
      <c r="C83" s="21"/>
      <c r="D83" s="15"/>
      <c r="E83" s="21"/>
      <c r="F83" s="21"/>
      <c r="G83" s="6"/>
    </row>
    <row r="84" spans="1:7" ht="12.75">
      <c r="A84" s="6"/>
      <c r="B84" s="6"/>
      <c r="C84" s="19"/>
      <c r="D84" s="6"/>
      <c r="E84" s="19"/>
      <c r="F84" s="19"/>
      <c r="G84" s="6"/>
    </row>
    <row r="85" spans="1:7" ht="12.75">
      <c r="A85" s="12" t="s">
        <v>128</v>
      </c>
      <c r="B85" s="12"/>
      <c r="C85" s="18">
        <v>0.123</v>
      </c>
      <c r="D85" s="29"/>
      <c r="E85" s="18">
        <f>+$C$85*$D$85</f>
        <v>0</v>
      </c>
      <c r="F85" s="18"/>
      <c r="G85" s="6"/>
    </row>
    <row r="86" spans="1:7" ht="12.75">
      <c r="A86" s="12" t="s">
        <v>129</v>
      </c>
      <c r="B86" s="12"/>
      <c r="C86" s="18">
        <v>0.304</v>
      </c>
      <c r="D86" s="29"/>
      <c r="E86" s="18">
        <f>+$C$86*$D$86</f>
        <v>0</v>
      </c>
      <c r="F86" s="18"/>
      <c r="G86" s="165">
        <f>SUM(E85:E86)</f>
        <v>0</v>
      </c>
    </row>
    <row r="87" spans="1:7" ht="12.75">
      <c r="A87" s="6"/>
      <c r="B87" s="6"/>
      <c r="C87" s="19"/>
      <c r="D87" s="6"/>
      <c r="E87" s="6"/>
      <c r="F87" s="6"/>
      <c r="G87" s="20" t="str">
        <f>IF(H173&lt;&gt;1,"ERROR**","              OK")</f>
        <v>ERROR**</v>
      </c>
    </row>
    <row r="88" spans="1:7" ht="12.75">
      <c r="A88" s="6"/>
      <c r="B88" s="6"/>
      <c r="C88" s="5" t="s">
        <v>130</v>
      </c>
      <c r="D88" s="22" t="s">
        <v>131</v>
      </c>
      <c r="E88" s="9"/>
      <c r="F88" s="9"/>
      <c r="G88" s="6"/>
    </row>
    <row r="89" spans="1:7" ht="12.75">
      <c r="A89" s="5" t="s">
        <v>132</v>
      </c>
      <c r="B89" s="5"/>
      <c r="C89" s="61" t="s">
        <v>133</v>
      </c>
      <c r="D89" s="62" t="s">
        <v>134</v>
      </c>
      <c r="E89" s="22" t="s">
        <v>135</v>
      </c>
      <c r="F89" s="22"/>
      <c r="G89" s="12" t="s">
        <v>136</v>
      </c>
    </row>
    <row r="90" spans="1:7" ht="12.75">
      <c r="A90" s="12" t="s">
        <v>137</v>
      </c>
      <c r="B90" s="12"/>
      <c r="C90" s="11"/>
      <c r="D90" s="12"/>
      <c r="E90" s="18">
        <f>gW</f>
        <v>0</v>
      </c>
      <c r="F90" s="18"/>
      <c r="G90" s="55" t="s">
        <v>138</v>
      </c>
    </row>
    <row r="91" spans="1:7" ht="12.75">
      <c r="A91" s="23" t="s">
        <v>139</v>
      </c>
      <c r="B91" s="23"/>
      <c r="C91" s="6"/>
      <c r="D91" s="6"/>
      <c r="E91" s="6"/>
      <c r="F91" s="6"/>
      <c r="G91" s="6"/>
    </row>
    <row r="92" spans="1:7" ht="12.75">
      <c r="A92" s="108" t="s">
        <v>140</v>
      </c>
      <c r="B92" s="23"/>
      <c r="C92" s="6"/>
      <c r="D92" s="6"/>
      <c r="E92" s="6"/>
      <c r="F92" s="6"/>
      <c r="G92" s="6"/>
    </row>
    <row r="93" spans="1:7" ht="12.75">
      <c r="A93" s="12" t="s">
        <v>141</v>
      </c>
      <c r="B93" s="12"/>
      <c r="C93" s="29"/>
      <c r="D93" s="18">
        <v>0.5299999999997453</v>
      </c>
      <c r="E93" s="18">
        <f>C93/1000/D93</f>
        <v>0</v>
      </c>
      <c r="F93" s="18"/>
      <c r="G93" s="23" t="str">
        <f>IF(C93&gt;0,"ok","Put in thickness")</f>
        <v>Put in thickness</v>
      </c>
    </row>
    <row r="94" spans="1:7" ht="12.75">
      <c r="A94" s="12" t="s">
        <v>142</v>
      </c>
      <c r="B94" s="12"/>
      <c r="C94" s="29"/>
      <c r="D94" s="18">
        <v>0.47999999999956344</v>
      </c>
      <c r="E94" s="18">
        <f>C94/1000/D94</f>
        <v>0</v>
      </c>
      <c r="F94" s="18"/>
      <c r="G94" s="23" t="str">
        <f>IF(C94&gt;0,"ok","Put in thickness")</f>
        <v>Put in thickness</v>
      </c>
    </row>
    <row r="95" spans="1:7" ht="12.75">
      <c r="A95" s="12" t="s">
        <v>143</v>
      </c>
      <c r="B95" s="12"/>
      <c r="C95" s="29"/>
      <c r="D95" s="18">
        <v>1</v>
      </c>
      <c r="E95" s="18">
        <f>C95/1000/D95</f>
        <v>0</v>
      </c>
      <c r="F95" s="18"/>
      <c r="G95" s="23" t="str">
        <f>IF(C95&gt;0,"ok","Put in thickness")</f>
        <v>Put in thickness</v>
      </c>
    </row>
    <row r="96" spans="1:7" ht="12.75">
      <c r="A96" s="11" t="s">
        <v>144</v>
      </c>
      <c r="B96" s="12"/>
      <c r="C96" s="29"/>
      <c r="D96" s="18">
        <v>1</v>
      </c>
      <c r="E96" s="18">
        <f>C96/1000/D96</f>
        <v>0</v>
      </c>
      <c r="F96" s="18"/>
      <c r="G96" s="23" t="str">
        <f>IF(C96=1,"ok","Put in 1 if felt/membrane present")</f>
        <v>Put in 1 if felt/membrane present</v>
      </c>
    </row>
    <row r="97" spans="1:7" ht="12.75">
      <c r="A97" s="12" t="s">
        <v>258</v>
      </c>
      <c r="B97" s="12"/>
      <c r="C97" s="29"/>
      <c r="D97" s="18">
        <v>0.14</v>
      </c>
      <c r="E97" s="18">
        <f>C97/1000/D97</f>
        <v>0</v>
      </c>
      <c r="F97" s="18"/>
      <c r="G97" s="23" t="str">
        <f>IF(C97&gt;0,"ok","Put in thickness - See Help")</f>
        <v>Put in thickness - See Help</v>
      </c>
    </row>
    <row r="98" spans="1:7" ht="12.75">
      <c r="A98" s="12" t="s">
        <v>259</v>
      </c>
      <c r="B98" s="12"/>
      <c r="C98" s="29"/>
      <c r="D98" s="18">
        <v>0.1799999999998363</v>
      </c>
      <c r="E98" s="18">
        <f>(D98*C98)</f>
        <v>0</v>
      </c>
      <c r="F98" s="18"/>
      <c r="G98" s="23" t="str">
        <f>IF(C98=1,"ok","Put in 1 if cavity present")</f>
        <v>Put in 1 if cavity present</v>
      </c>
    </row>
    <row r="99" spans="1:7" ht="12.75">
      <c r="A99" s="12"/>
      <c r="B99" s="12"/>
      <c r="C99" s="107"/>
      <c r="D99" s="18"/>
      <c r="E99" s="18"/>
      <c r="F99" s="18"/>
      <c r="G99" s="6"/>
    </row>
    <row r="100" spans="1:7" ht="22.5">
      <c r="A100" s="9" t="s">
        <v>145</v>
      </c>
      <c r="B100" s="166" t="s">
        <v>230</v>
      </c>
      <c r="C100" s="107"/>
      <c r="D100" s="18"/>
      <c r="E100" s="18"/>
      <c r="F100" s="18"/>
      <c r="G100" s="6"/>
    </row>
    <row r="101" spans="1:7" ht="24.75">
      <c r="A101" s="140" t="s">
        <v>241</v>
      </c>
      <c r="B101" s="12" t="str">
        <f>IF(D101&gt;0,'k-Value outerleaf'!G77," ")</f>
        <v> </v>
      </c>
      <c r="C101" s="29"/>
      <c r="D101" s="109">
        <f>'k-Value outerleaf'!H77</f>
        <v>0</v>
      </c>
      <c r="E101" s="18">
        <f>IF(D101=0,0,F101)</f>
        <v>0</v>
      </c>
      <c r="F101" s="18" t="e">
        <f>C101/1000/D101</f>
        <v>#DIV/0!</v>
      </c>
      <c r="G101" s="110" t="s">
        <v>146</v>
      </c>
    </row>
    <row r="102" spans="1:7" ht="24.75">
      <c r="A102" s="140" t="s">
        <v>242</v>
      </c>
      <c r="B102" s="12" t="str">
        <f>IF(D102&gt;0,'k-Value outerleaf'!G47," ")</f>
        <v> </v>
      </c>
      <c r="C102" s="29"/>
      <c r="D102" s="109">
        <f>'k-Value outerleaf'!H47</f>
        <v>0</v>
      </c>
      <c r="E102" s="18">
        <f>IF(D102=0,0,F102)</f>
        <v>0</v>
      </c>
      <c r="F102" s="18" t="e">
        <f>C102/1000/D102</f>
        <v>#DIV/0!</v>
      </c>
      <c r="G102" s="110" t="s">
        <v>244</v>
      </c>
    </row>
    <row r="103" spans="1:7" ht="24.75">
      <c r="A103" s="140" t="s">
        <v>240</v>
      </c>
      <c r="B103" s="12" t="str">
        <f>IF(D103&gt;0,'k-Value outerleaf'!G31," ")</f>
        <v> </v>
      </c>
      <c r="C103" s="29"/>
      <c r="D103" s="109">
        <f>'k-Value outerleaf'!H31</f>
        <v>0</v>
      </c>
      <c r="E103" s="18">
        <f>IF(D103=0,0,F103)</f>
        <v>0</v>
      </c>
      <c r="F103" s="18" t="e">
        <f>C103/1000/D103</f>
        <v>#DIV/0!</v>
      </c>
      <c r="G103" s="6"/>
    </row>
    <row r="104" spans="1:7" ht="12.75">
      <c r="A104" s="63" t="s">
        <v>147</v>
      </c>
      <c r="B104" s="12"/>
      <c r="C104" s="6"/>
      <c r="D104" s="18"/>
      <c r="E104" s="18"/>
      <c r="F104" s="18"/>
      <c r="G104" s="6"/>
    </row>
    <row r="105" spans="1:7" ht="12.75">
      <c r="A105" s="15" t="s">
        <v>148</v>
      </c>
      <c r="B105" s="15"/>
      <c r="C105" s="6"/>
      <c r="D105" s="19"/>
      <c r="E105" s="19"/>
      <c r="F105" s="19"/>
      <c r="G105" s="6"/>
    </row>
    <row r="106" spans="1:7" ht="12.75">
      <c r="A106" s="12" t="s">
        <v>149</v>
      </c>
      <c r="B106" s="12"/>
      <c r="C106" s="29"/>
      <c r="D106" s="18">
        <v>0.1799999999998363</v>
      </c>
      <c r="E106" s="18">
        <f>+$C$106*$D$106</f>
        <v>0</v>
      </c>
      <c r="F106" s="18"/>
      <c r="G106" s="15" t="s">
        <v>150</v>
      </c>
    </row>
    <row r="107" spans="1:12" ht="12.75">
      <c r="A107" s="12" t="s">
        <v>151</v>
      </c>
      <c r="B107" s="12"/>
      <c r="C107" s="29"/>
      <c r="D107" s="18">
        <v>0.34999999999990905</v>
      </c>
      <c r="E107" s="18">
        <f>$C$107*$D$107</f>
        <v>0</v>
      </c>
      <c r="F107" s="18"/>
      <c r="G107" s="15" t="s">
        <v>152</v>
      </c>
      <c r="L107" s="168">
        <f>C107+C106</f>
        <v>0</v>
      </c>
    </row>
    <row r="108" spans="1:7" ht="12.75">
      <c r="A108" s="15" t="s">
        <v>153</v>
      </c>
      <c r="B108" s="15"/>
      <c r="C108" s="6"/>
      <c r="D108" s="18"/>
      <c r="E108" s="18"/>
      <c r="F108" s="18"/>
      <c r="G108" s="12"/>
    </row>
    <row r="109" spans="1:7" ht="12.75">
      <c r="A109" s="63" t="s">
        <v>154</v>
      </c>
      <c r="B109" s="12"/>
      <c r="C109" s="6"/>
      <c r="D109" s="19"/>
      <c r="E109" s="19"/>
      <c r="F109" s="19"/>
      <c r="G109" s="6"/>
    </row>
    <row r="110" spans="1:7" ht="12.75">
      <c r="A110" s="12" t="s">
        <v>155</v>
      </c>
      <c r="B110" s="12"/>
      <c r="C110" s="29"/>
      <c r="D110" s="18">
        <v>0.04499999999995907</v>
      </c>
      <c r="E110" s="18">
        <f aca="true" t="shared" si="2" ref="E110:E123">C110/1000/D110</f>
        <v>0</v>
      </c>
      <c r="F110" s="18"/>
      <c r="G110" s="6"/>
    </row>
    <row r="111" spans="1:6" ht="12.75">
      <c r="A111" s="12" t="s">
        <v>156</v>
      </c>
      <c r="B111" s="12"/>
      <c r="C111" s="29"/>
      <c r="D111" s="18">
        <v>0.033999999999991815</v>
      </c>
      <c r="E111" s="18">
        <f t="shared" si="2"/>
        <v>0</v>
      </c>
      <c r="F111" s="18"/>
    </row>
    <row r="112" spans="1:6" ht="12.75">
      <c r="A112" s="12"/>
      <c r="B112" s="12"/>
      <c r="C112" s="6"/>
      <c r="D112" s="19"/>
      <c r="E112" s="18"/>
      <c r="F112" s="18"/>
    </row>
    <row r="113" spans="1:6" ht="12.75">
      <c r="A113" s="12" t="s">
        <v>157</v>
      </c>
      <c r="B113" s="12"/>
      <c r="C113" s="29"/>
      <c r="D113" s="18">
        <v>0.033999999999991815</v>
      </c>
      <c r="E113" s="18">
        <f t="shared" si="2"/>
        <v>0</v>
      </c>
      <c r="F113" s="18"/>
    </row>
    <row r="114" spans="1:7" ht="12.75">
      <c r="A114" s="12" t="s">
        <v>158</v>
      </c>
      <c r="B114" s="12"/>
      <c r="C114" s="29"/>
      <c r="D114" s="18">
        <v>0.04399999999998272</v>
      </c>
      <c r="E114" s="18">
        <f t="shared" si="2"/>
        <v>0</v>
      </c>
      <c r="F114" s="18"/>
      <c r="G114" s="6"/>
    </row>
    <row r="115" spans="1:7" ht="12.75">
      <c r="A115" s="12" t="s">
        <v>159</v>
      </c>
      <c r="B115" s="12"/>
      <c r="C115" s="29"/>
      <c r="D115" s="18">
        <v>0.04199999999997317</v>
      </c>
      <c r="E115" s="18">
        <f t="shared" si="2"/>
        <v>0</v>
      </c>
      <c r="F115" s="18"/>
      <c r="G115" s="6"/>
    </row>
    <row r="116" spans="1:7" ht="12.75">
      <c r="A116" s="12" t="s">
        <v>160</v>
      </c>
      <c r="B116" s="12"/>
      <c r="C116" s="29"/>
      <c r="D116" s="18">
        <v>0.025999999999982037</v>
      </c>
      <c r="E116" s="18">
        <f t="shared" si="2"/>
        <v>0</v>
      </c>
      <c r="F116" s="18"/>
      <c r="G116" s="6"/>
    </row>
    <row r="117" spans="1:7" ht="22.5">
      <c r="A117" s="63" t="s">
        <v>161</v>
      </c>
      <c r="B117" s="166" t="s">
        <v>230</v>
      </c>
      <c r="C117" s="6"/>
      <c r="D117" s="18"/>
      <c r="E117" s="18"/>
      <c r="F117" s="18"/>
      <c r="G117" s="6"/>
    </row>
    <row r="118" spans="1:7" ht="25.5">
      <c r="A118" s="140" t="s">
        <v>238</v>
      </c>
      <c r="B118" s="12" t="str">
        <f>IF(D118&gt;0,'k-value inner leaf'!G47," ")</f>
        <v> </v>
      </c>
      <c r="C118" s="29"/>
      <c r="D118" s="109">
        <f>'k-value inner leaf'!H47</f>
        <v>0</v>
      </c>
      <c r="E118" s="18">
        <f>IF(B118=0,0,C118/1000/D118)</f>
        <v>0</v>
      </c>
      <c r="F118" s="18"/>
      <c r="G118" s="175" t="s">
        <v>261</v>
      </c>
    </row>
    <row r="119" spans="1:12" ht="38.25">
      <c r="A119" s="140" t="s">
        <v>239</v>
      </c>
      <c r="B119" s="12" t="str">
        <f>IF(D119&gt;0,'k-value inner leaf'!G31," ")</f>
        <v> </v>
      </c>
      <c r="C119" s="29"/>
      <c r="D119" s="109">
        <f>'k-value inner leaf'!H31</f>
        <v>0</v>
      </c>
      <c r="E119" s="18">
        <f>IF(B119=0,0,C119/1000/D119)</f>
        <v>0</v>
      </c>
      <c r="F119" s="18"/>
      <c r="G119" s="175" t="s">
        <v>261</v>
      </c>
      <c r="L119" s="174" t="s">
        <v>260</v>
      </c>
    </row>
    <row r="120" spans="1:12" ht="12.75">
      <c r="A120" s="12" t="s">
        <v>243</v>
      </c>
      <c r="B120" s="12">
        <v>350</v>
      </c>
      <c r="C120" s="29"/>
      <c r="D120" s="18">
        <v>0.11999999999989086</v>
      </c>
      <c r="E120" s="18">
        <f>C120/1000/D120</f>
        <v>0</v>
      </c>
      <c r="F120" s="18"/>
      <c r="G120" s="6"/>
      <c r="L120" s="15"/>
    </row>
    <row r="121" spans="1:12" ht="12.75">
      <c r="A121" s="63" t="s">
        <v>162</v>
      </c>
      <c r="B121" s="12"/>
      <c r="C121" s="6"/>
      <c r="D121" s="19"/>
      <c r="E121" s="18"/>
      <c r="F121" s="18"/>
      <c r="G121" s="6"/>
      <c r="L121" s="15"/>
    </row>
    <row r="122" spans="1:7" ht="12.75">
      <c r="A122" s="12" t="s">
        <v>163</v>
      </c>
      <c r="B122" s="12"/>
      <c r="C122" s="29"/>
      <c r="D122" s="18">
        <v>0.13999999999987267</v>
      </c>
      <c r="E122" s="18">
        <f t="shared" si="2"/>
        <v>0</v>
      </c>
      <c r="F122" s="18"/>
      <c r="G122" s="15" t="s">
        <v>164</v>
      </c>
    </row>
    <row r="123" spans="1:8" ht="12.75">
      <c r="A123" s="12" t="s">
        <v>211</v>
      </c>
      <c r="B123" s="12"/>
      <c r="C123" s="29"/>
      <c r="D123" s="18">
        <v>0.14999999999986358</v>
      </c>
      <c r="E123" s="18">
        <f t="shared" si="2"/>
        <v>0</v>
      </c>
      <c r="F123" s="18"/>
      <c r="G123" s="15" t="s">
        <v>165</v>
      </c>
      <c r="H123" s="4"/>
    </row>
    <row r="124" spans="1:8" ht="12.75">
      <c r="A124" s="12" t="s">
        <v>166</v>
      </c>
      <c r="B124" s="12"/>
      <c r="C124" s="6"/>
      <c r="D124" s="19"/>
      <c r="E124" s="18"/>
      <c r="F124" s="18"/>
      <c r="G124" s="23"/>
      <c r="H124" s="4"/>
    </row>
    <row r="125" spans="1:7" ht="12.75">
      <c r="A125" s="12" t="s">
        <v>167</v>
      </c>
      <c r="B125" s="12"/>
      <c r="C125" s="29"/>
      <c r="D125" s="18">
        <v>0.07999999999992724</v>
      </c>
      <c r="E125" s="18">
        <f>C125/1000/D125</f>
        <v>0</v>
      </c>
      <c r="F125" s="18"/>
      <c r="G125" s="6"/>
    </row>
    <row r="126" spans="1:7" ht="12.75">
      <c r="A126" s="12" t="s">
        <v>168</v>
      </c>
      <c r="B126" s="12"/>
      <c r="C126" s="29"/>
      <c r="D126" s="57">
        <v>0.12999999999988177</v>
      </c>
      <c r="E126" s="18">
        <f>C126/1000/D126</f>
        <v>0</v>
      </c>
      <c r="F126" s="18"/>
      <c r="G126" s="6"/>
    </row>
    <row r="127" spans="1:7" ht="12.75">
      <c r="A127" s="15" t="s">
        <v>148</v>
      </c>
      <c r="B127" s="15"/>
      <c r="C127" s="6"/>
      <c r="D127" s="19"/>
      <c r="E127" s="19"/>
      <c r="F127" s="19"/>
      <c r="G127" s="6"/>
    </row>
    <row r="128" spans="1:6" ht="12.75">
      <c r="A128" s="12" t="s">
        <v>169</v>
      </c>
      <c r="B128" s="12"/>
      <c r="C128" s="6"/>
      <c r="D128" s="58" t="s">
        <v>114</v>
      </c>
      <c r="E128" s="19"/>
      <c r="F128" s="19"/>
    </row>
    <row r="129" spans="1:7" ht="12.75">
      <c r="A129" s="12" t="s">
        <v>170</v>
      </c>
      <c r="B129" s="31"/>
      <c r="C129" s="29"/>
      <c r="D129" s="18">
        <v>0.34999999999990905</v>
      </c>
      <c r="E129" s="18">
        <f>C129*D129</f>
        <v>0</v>
      </c>
      <c r="F129" s="18"/>
      <c r="G129" s="15" t="s">
        <v>171</v>
      </c>
    </row>
    <row r="130" spans="1:7" ht="12.75">
      <c r="A130" s="12" t="s">
        <v>172</v>
      </c>
      <c r="B130" s="31"/>
      <c r="C130" s="29"/>
      <c r="D130" s="57">
        <v>0.1799999999998363</v>
      </c>
      <c r="E130" s="18">
        <f>C130*D130</f>
        <v>0</v>
      </c>
      <c r="F130" s="18"/>
      <c r="G130" s="15" t="s">
        <v>173</v>
      </c>
    </row>
    <row r="131" spans="1:7" ht="12.75">
      <c r="A131" s="15" t="s">
        <v>153</v>
      </c>
      <c r="B131" s="15"/>
      <c r="C131" s="6"/>
      <c r="D131" s="18"/>
      <c r="E131" s="18"/>
      <c r="F131" s="18"/>
      <c r="G131" s="12"/>
    </row>
    <row r="132" spans="1:7" ht="12.75">
      <c r="A132" s="12" t="s">
        <v>174</v>
      </c>
      <c r="B132" s="12"/>
      <c r="C132" s="6"/>
      <c r="D132" s="58" t="s">
        <v>175</v>
      </c>
      <c r="E132" s="19"/>
      <c r="F132" s="19"/>
      <c r="G132" s="35" t="s">
        <v>176</v>
      </c>
    </row>
    <row r="133" spans="1:7" ht="12.75">
      <c r="A133" s="12" t="s">
        <v>177</v>
      </c>
      <c r="B133" s="54">
        <f>Framed!$C$9</f>
        <v>1</v>
      </c>
      <c r="C133" s="29"/>
      <c r="D133" s="18">
        <v>0.03999999999996362</v>
      </c>
      <c r="E133" s="18">
        <f>((C133/1000)/D133)*B133</f>
        <v>0</v>
      </c>
      <c r="F133" s="18"/>
      <c r="G133" s="35" t="s">
        <v>178</v>
      </c>
    </row>
    <row r="134" spans="1:7" ht="12.75">
      <c r="A134" s="12" t="s">
        <v>156</v>
      </c>
      <c r="B134" s="54">
        <f>Framed!$C$9</f>
        <v>1</v>
      </c>
      <c r="C134" s="29"/>
      <c r="D134" s="18">
        <v>0.033999999999991815</v>
      </c>
      <c r="E134" s="18">
        <f>((C134/1000)/D134)*B134</f>
        <v>0</v>
      </c>
      <c r="F134" s="18"/>
      <c r="G134" s="35" t="s">
        <v>179</v>
      </c>
    </row>
    <row r="135" spans="1:7" ht="12.75">
      <c r="A135" s="12" t="s">
        <v>157</v>
      </c>
      <c r="B135" s="54">
        <f>Framed!$C$9</f>
        <v>1</v>
      </c>
      <c r="C135" s="29"/>
      <c r="D135" s="18">
        <v>0.033999999999991815</v>
      </c>
      <c r="E135" s="18">
        <f>((C135/1000)/D135)*B135</f>
        <v>0</v>
      </c>
      <c r="F135" s="18"/>
      <c r="G135" s="35" t="s">
        <v>180</v>
      </c>
    </row>
    <row r="136" spans="1:7" ht="12.75">
      <c r="A136" s="11"/>
      <c r="B136" s="21"/>
      <c r="C136" s="6"/>
      <c r="D136" s="18"/>
      <c r="E136" s="18"/>
      <c r="F136" s="18"/>
      <c r="G136" s="35" t="s">
        <v>181</v>
      </c>
    </row>
    <row r="137" spans="1:7" ht="12.75">
      <c r="A137" s="12" t="s">
        <v>182</v>
      </c>
      <c r="B137" s="54">
        <f>Framed!$B$9</f>
        <v>0</v>
      </c>
      <c r="C137" s="29"/>
      <c r="D137" s="18">
        <v>0.105</v>
      </c>
      <c r="E137" s="18">
        <f>((C137/1000)/D137)*B137</f>
        <v>0</v>
      </c>
      <c r="F137" s="18"/>
      <c r="G137" s="35" t="s">
        <v>183</v>
      </c>
    </row>
    <row r="138" spans="1:7" ht="12.75">
      <c r="A138" s="12"/>
      <c r="B138" s="12"/>
      <c r="C138" s="6"/>
      <c r="D138" s="18"/>
      <c r="E138" s="18"/>
      <c r="F138" s="18"/>
      <c r="G138" s="35" t="s">
        <v>184</v>
      </c>
    </row>
    <row r="139" spans="1:7" ht="12.75">
      <c r="A139" s="12"/>
      <c r="B139" s="12"/>
      <c r="C139" s="6"/>
      <c r="D139" s="18"/>
      <c r="E139" s="18"/>
      <c r="F139" s="18"/>
      <c r="G139" s="35" t="s">
        <v>185</v>
      </c>
    </row>
    <row r="140" spans="1:11" ht="12.75">
      <c r="A140" s="12" t="s">
        <v>186</v>
      </c>
      <c r="B140" s="12"/>
      <c r="C140" s="6"/>
      <c r="D140" s="19"/>
      <c r="E140" s="19"/>
      <c r="F140" s="19"/>
      <c r="G140" s="35" t="s">
        <v>187</v>
      </c>
      <c r="H140" s="1">
        <f>IF(G82="* ERROR *",1,0)</f>
        <v>0</v>
      </c>
      <c r="I140" t="s">
        <v>188</v>
      </c>
      <c r="K140">
        <f>4*1*0.05</f>
        <v>0.2</v>
      </c>
    </row>
    <row r="141" spans="1:11" ht="12.75">
      <c r="A141" s="12" t="s">
        <v>189</v>
      </c>
      <c r="B141" s="12"/>
      <c r="C141" s="29"/>
      <c r="D141" s="18">
        <v>0.15999999999985448</v>
      </c>
      <c r="E141" s="18">
        <f>$C$141/1000/$D$141</f>
        <v>0</v>
      </c>
      <c r="F141" s="18"/>
      <c r="G141" s="18"/>
      <c r="H141" s="1">
        <f>IF(G87="* ERROR *",1,0)</f>
        <v>0</v>
      </c>
      <c r="I141" t="s">
        <v>190</v>
      </c>
      <c r="K141">
        <f>((1000/400)*(2.4-(4*0.05)))*1.1*0.05</f>
        <v>0.3025</v>
      </c>
    </row>
    <row r="142" spans="1:11" ht="12.75">
      <c r="A142" s="12" t="s">
        <v>191</v>
      </c>
      <c r="B142" s="12"/>
      <c r="C142" s="29"/>
      <c r="D142" s="18">
        <v>0.12999999999988177</v>
      </c>
      <c r="E142" s="18">
        <f>$C$142/1000/$D$142</f>
        <v>0</v>
      </c>
      <c r="F142" s="18"/>
      <c r="G142" s="18"/>
      <c r="H142" s="1">
        <f>IF(_E35_="* error *",1,0)</f>
        <v>0</v>
      </c>
      <c r="I142" t="s">
        <v>24</v>
      </c>
      <c r="K142">
        <f>2*(1-0.125)*0.05</f>
        <v>0.08750000000000001</v>
      </c>
    </row>
    <row r="143" spans="1:11" ht="12.75">
      <c r="A143" s="12" t="s">
        <v>247</v>
      </c>
      <c r="B143" s="12"/>
      <c r="C143" s="29"/>
      <c r="D143" s="19">
        <v>0.14</v>
      </c>
      <c r="E143" s="18">
        <f>$C$143/1000/$D$143</f>
        <v>0</v>
      </c>
      <c r="F143" s="19"/>
      <c r="G143" s="18"/>
      <c r="H143" s="1">
        <f>IF(_E36_="* error *",1,0)</f>
        <v>0</v>
      </c>
      <c r="K143">
        <f>SUM(K140:K142)</f>
        <v>0.59</v>
      </c>
    </row>
    <row r="144" spans="1:11" ht="12.75">
      <c r="A144" s="12" t="s">
        <v>192</v>
      </c>
      <c r="B144" s="12"/>
      <c r="C144" s="29"/>
      <c r="D144" s="18">
        <v>0.3799999999996544</v>
      </c>
      <c r="E144" s="18">
        <f>$C$144/1000/$D$144</f>
        <v>0</v>
      </c>
      <c r="F144" s="18"/>
      <c r="G144" s="18"/>
      <c r="H144" s="1">
        <f>IF(_E54_="* error *",1,0)</f>
        <v>0</v>
      </c>
      <c r="K144">
        <f>2.4*1</f>
        <v>2.4</v>
      </c>
    </row>
    <row r="145" spans="1:11" ht="12.75">
      <c r="A145" s="12" t="s">
        <v>193</v>
      </c>
      <c r="B145" s="12"/>
      <c r="C145" s="29"/>
      <c r="D145" s="18">
        <v>0.45999999999958163</v>
      </c>
      <c r="E145" s="18">
        <f>$C$145/1000/$D$145</f>
        <v>0</v>
      </c>
      <c r="F145" s="18"/>
      <c r="G145" s="18"/>
      <c r="H145" s="1">
        <f>IF(_E55_="* error *",1,0)</f>
        <v>0</v>
      </c>
      <c r="K145">
        <f>K143/K144*100</f>
        <v>24.583333333333332</v>
      </c>
    </row>
    <row r="146" spans="1:11" ht="12.75">
      <c r="A146" s="6"/>
      <c r="B146" s="6"/>
      <c r="C146" s="6"/>
      <c r="D146" s="19"/>
      <c r="E146" s="19"/>
      <c r="F146" s="19"/>
      <c r="G146" s="6"/>
      <c r="K146" t="s">
        <v>194</v>
      </c>
    </row>
    <row r="147" spans="1:11" ht="12.75">
      <c r="A147" s="12" t="s">
        <v>195</v>
      </c>
      <c r="B147" s="12"/>
      <c r="C147" s="12"/>
      <c r="D147" s="21"/>
      <c r="E147" s="18">
        <f>INTR</f>
        <v>0</v>
      </c>
      <c r="F147" s="18"/>
      <c r="G147" s="23" t="s">
        <v>196</v>
      </c>
      <c r="H147" s="1">
        <f>SUM(H140:H145)</f>
        <v>0</v>
      </c>
      <c r="K147" t="s">
        <v>197</v>
      </c>
    </row>
    <row r="148" spans="1:7" ht="12.75">
      <c r="A148" s="6"/>
      <c r="B148" s="6"/>
      <c r="C148" s="6"/>
      <c r="D148" s="19"/>
      <c r="E148" s="19"/>
      <c r="F148" s="19"/>
      <c r="G148" s="6"/>
    </row>
    <row r="149" spans="1:7" ht="12.75">
      <c r="A149" s="6"/>
      <c r="B149" s="6"/>
      <c r="C149" s="6"/>
      <c r="D149" s="19"/>
      <c r="E149" s="19"/>
      <c r="F149" s="19"/>
      <c r="G149" s="6"/>
    </row>
    <row r="150" spans="1:7" ht="12.75">
      <c r="A150" s="50"/>
      <c r="B150" s="27"/>
      <c r="C150" s="27"/>
      <c r="D150" s="28"/>
      <c r="E150" s="28"/>
      <c r="F150" s="28"/>
      <c r="G150" s="27"/>
    </row>
    <row r="151" spans="1:7" ht="13.5" thickBot="1">
      <c r="A151" s="6"/>
      <c r="B151" s="6"/>
      <c r="C151" s="6"/>
      <c r="D151" s="19"/>
      <c r="E151" s="25">
        <f>SUM(E89:E149)</f>
        <v>0</v>
      </c>
      <c r="F151" s="105"/>
      <c r="G151" s="6"/>
    </row>
    <row r="152" spans="1:7" ht="13.5" thickTop="1">
      <c r="A152" s="6"/>
      <c r="B152" s="6"/>
      <c r="C152" s="6"/>
      <c r="D152" s="19"/>
      <c r="E152" s="26"/>
      <c r="F152" s="26"/>
      <c r="G152" s="17"/>
    </row>
    <row r="153" spans="1:7" ht="12.75">
      <c r="A153" s="12" t="s">
        <v>198</v>
      </c>
      <c r="B153" s="12"/>
      <c r="C153" s="12"/>
      <c r="D153" s="33" t="e">
        <f>1/E151</f>
        <v>#DIV/0!</v>
      </c>
      <c r="E153" s="32" t="s">
        <v>105</v>
      </c>
      <c r="F153" s="106"/>
      <c r="G153" s="6"/>
    </row>
    <row r="154" spans="1:7" ht="12.75">
      <c r="A154" s="6"/>
      <c r="B154" s="6"/>
      <c r="C154" s="6"/>
      <c r="D154" s="24"/>
      <c r="E154" s="24"/>
      <c r="F154" s="24"/>
      <c r="G154" s="6"/>
    </row>
    <row r="155" spans="1:7" ht="12">
      <c r="A155" s="2"/>
      <c r="B155" s="2"/>
      <c r="C155" s="2"/>
      <c r="D155" s="2"/>
      <c r="E155" s="2"/>
      <c r="F155" s="2"/>
      <c r="G155" s="2"/>
    </row>
    <row r="156" spans="1:7" ht="12">
      <c r="A156" s="2"/>
      <c r="B156" s="2"/>
      <c r="C156" s="2"/>
      <c r="D156" s="2"/>
      <c r="E156" s="2"/>
      <c r="F156" s="2"/>
      <c r="G156" s="2"/>
    </row>
    <row r="157" spans="1:7" ht="12">
      <c r="A157" s="2"/>
      <c r="B157" s="2"/>
      <c r="C157" s="2"/>
      <c r="D157" s="2"/>
      <c r="E157" s="2"/>
      <c r="F157" s="2"/>
      <c r="G157" s="2"/>
    </row>
    <row r="162" ht="12">
      <c r="H162" s="36">
        <f>SUM(D74:D81)</f>
        <v>0</v>
      </c>
    </row>
    <row r="173" ht="12">
      <c r="H173" s="1">
        <f>SUM(D85:D86)</f>
        <v>0</v>
      </c>
    </row>
    <row r="174" ht="12">
      <c r="A174" s="49"/>
    </row>
    <row r="176" spans="1:7" ht="12">
      <c r="A176" s="2"/>
      <c r="B176" s="2"/>
      <c r="C176" s="3"/>
      <c r="D176" s="3"/>
      <c r="E176" s="3"/>
      <c r="F176" s="3"/>
      <c r="G176" s="3"/>
    </row>
    <row r="177" spans="1:7" ht="12">
      <c r="A177" s="3"/>
      <c r="B177" s="3"/>
      <c r="C177" s="2"/>
      <c r="D177" s="2"/>
      <c r="E177" s="2"/>
      <c r="F177" s="2"/>
      <c r="G177" s="2"/>
    </row>
    <row r="178" spans="1:7" ht="12">
      <c r="A178" s="2"/>
      <c r="B178" s="2"/>
      <c r="C178" s="2"/>
      <c r="D178" s="2"/>
      <c r="E178" s="2"/>
      <c r="F178" s="2"/>
      <c r="G178" s="2"/>
    </row>
    <row r="179" spans="1:7" ht="12">
      <c r="A179" s="3"/>
      <c r="B179" s="3"/>
      <c r="C179" s="2"/>
      <c r="D179" s="2"/>
      <c r="E179" s="2"/>
      <c r="F179" s="2"/>
      <c r="G179" s="2"/>
    </row>
    <row r="180" spans="1:7" ht="12">
      <c r="A180" s="3"/>
      <c r="B180" s="3"/>
      <c r="C180" s="2"/>
      <c r="D180" s="2"/>
      <c r="E180" s="2"/>
      <c r="F180" s="2"/>
      <c r="G180" s="2"/>
    </row>
    <row r="181" spans="1:7" ht="12">
      <c r="A181" s="2"/>
      <c r="B181" s="2"/>
      <c r="C181" s="2"/>
      <c r="D181" s="2"/>
      <c r="E181" s="2"/>
      <c r="F181" s="2"/>
      <c r="G181" s="2"/>
    </row>
    <row r="182" spans="1:7" ht="12">
      <c r="A182" s="3"/>
      <c r="B182" s="3"/>
      <c r="C182" s="2"/>
      <c r="D182" s="2"/>
      <c r="E182" s="2"/>
      <c r="F182" s="2"/>
      <c r="G182" s="2"/>
    </row>
    <row r="183" spans="1:7" ht="12">
      <c r="A183" s="3"/>
      <c r="B183" s="3"/>
      <c r="C183" s="2"/>
      <c r="D183" s="2"/>
      <c r="E183" s="2"/>
      <c r="F183" s="2"/>
      <c r="G183" s="2"/>
    </row>
    <row r="184" spans="1:7" ht="12">
      <c r="A184" s="2"/>
      <c r="B184" s="2"/>
      <c r="C184" s="2"/>
      <c r="D184" s="2"/>
      <c r="E184" s="2"/>
      <c r="F184" s="2"/>
      <c r="G184" s="2"/>
    </row>
    <row r="185" spans="1:7" ht="12">
      <c r="A185" s="3"/>
      <c r="B185" s="3"/>
      <c r="C185" s="2"/>
      <c r="D185" s="2"/>
      <c r="E185" s="2"/>
      <c r="F185" s="2"/>
      <c r="G185" s="2"/>
    </row>
    <row r="186" spans="1:7" ht="12">
      <c r="A186" s="3"/>
      <c r="B186" s="3"/>
      <c r="C186" s="2"/>
      <c r="D186" s="2"/>
      <c r="E186" s="2"/>
      <c r="F186" s="2"/>
      <c r="G186" s="2"/>
    </row>
    <row r="187" spans="1:7" s="49" customFormat="1" ht="12">
      <c r="A187" s="47"/>
      <c r="B187" s="47"/>
      <c r="C187" s="48"/>
      <c r="D187" s="48"/>
      <c r="E187" s="48"/>
      <c r="F187" s="48"/>
      <c r="G187" s="48"/>
    </row>
  </sheetData>
  <mergeCells count="10">
    <mergeCell ref="B53:F53"/>
    <mergeCell ref="A18:G18"/>
    <mergeCell ref="A10:G10"/>
    <mergeCell ref="A68:G68"/>
    <mergeCell ref="B1:G1"/>
    <mergeCell ref="A11:G11"/>
    <mergeCell ref="D38:L38"/>
    <mergeCell ref="A19:L19"/>
    <mergeCell ref="D15:E15"/>
    <mergeCell ref="A15:C15"/>
  </mergeCells>
  <printOptions/>
  <pageMargins left="0.75" right="0.75" top="1" bottom="1" header="0.5" footer="0.5"/>
  <pageSetup fitToHeight="2" fitToWidth="1" horizontalDpi="300" verticalDpi="300" orientation="portrait" paperSize="9" scale="84" r:id="rId1"/>
  <headerFooter alignWithMargins="0">
    <oddFooter>&amp;CWALLUVAL.XLS&amp;RPage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N4" sqref="N4"/>
    </sheetView>
  </sheetViews>
  <sheetFormatPr defaultColWidth="9.00390625" defaultRowHeight="12.75"/>
  <cols>
    <col min="2" max="2" width="6.625" style="0" customWidth="1"/>
    <col min="3" max="3" width="6.375" style="0" customWidth="1"/>
    <col min="4" max="4" width="11.75390625" style="0" customWidth="1"/>
    <col min="6" max="6" width="7.00390625" style="0" customWidth="1"/>
    <col min="8" max="8" width="12.625" style="0" customWidth="1"/>
  </cols>
  <sheetData>
    <row r="1" spans="4:10" ht="22.5" customHeight="1">
      <c r="D1" s="111" t="s">
        <v>0</v>
      </c>
      <c r="I1" s="154"/>
      <c r="J1" s="155"/>
    </row>
    <row r="3" spans="1:11" ht="15">
      <c r="A3" s="4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4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34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34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1"/>
      <c r="B8" s="11" t="s">
        <v>5</v>
      </c>
      <c r="C8" s="11" t="s">
        <v>6</v>
      </c>
      <c r="D8" s="11"/>
      <c r="E8" s="11"/>
      <c r="F8" s="11"/>
      <c r="G8" s="11"/>
      <c r="H8" s="11"/>
      <c r="I8" s="39" t="s">
        <v>7</v>
      </c>
      <c r="J8" s="11"/>
      <c r="K8" s="11"/>
    </row>
    <row r="9" spans="1:11" ht="12.75">
      <c r="A9" s="11" t="s">
        <v>8</v>
      </c>
      <c r="B9" s="46">
        <f>H21/(2.4*1.2)</f>
        <v>0</v>
      </c>
      <c r="C9" s="46">
        <f>1-B9</f>
        <v>1</v>
      </c>
      <c r="D9" s="11"/>
      <c r="E9" s="11"/>
      <c r="F9" s="11"/>
      <c r="G9" s="11"/>
      <c r="H9" s="11"/>
      <c r="I9" s="39" t="s">
        <v>9</v>
      </c>
      <c r="J9" s="11"/>
      <c r="K9" s="11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39" t="s">
        <v>10</v>
      </c>
      <c r="J10" s="11"/>
      <c r="K10" s="11"/>
    </row>
    <row r="11" spans="1:11" ht="12.75">
      <c r="A11" s="14" t="s">
        <v>11</v>
      </c>
      <c r="B11" s="11"/>
      <c r="C11" s="11"/>
      <c r="D11" s="11"/>
      <c r="E11" s="11"/>
      <c r="F11" s="11"/>
      <c r="G11" s="11"/>
      <c r="H11" s="11"/>
      <c r="I11" s="39" t="s">
        <v>12</v>
      </c>
      <c r="J11" s="11"/>
      <c r="K11" s="11"/>
    </row>
    <row r="12" spans="1:11" ht="12.75">
      <c r="A12" s="14" t="s">
        <v>13</v>
      </c>
      <c r="B12" s="11"/>
      <c r="C12" s="11"/>
      <c r="D12" s="11"/>
      <c r="E12" s="11"/>
      <c r="F12" s="11"/>
      <c r="G12" s="11"/>
      <c r="H12" s="11"/>
      <c r="I12" s="39" t="s">
        <v>14</v>
      </c>
      <c r="J12" s="11"/>
      <c r="K12" s="11"/>
    </row>
    <row r="13" spans="1:11" ht="12.75">
      <c r="A13" s="14" t="s">
        <v>15</v>
      </c>
      <c r="B13" s="11"/>
      <c r="C13" s="11"/>
      <c r="D13" s="11"/>
      <c r="E13" s="11"/>
      <c r="F13" s="60" t="s">
        <v>16</v>
      </c>
      <c r="G13" s="11"/>
      <c r="H13" s="37" t="s">
        <v>17</v>
      </c>
      <c r="I13" s="41"/>
      <c r="J13" s="11"/>
      <c r="K13" s="11"/>
    </row>
    <row r="14" spans="1:11" ht="12.75">
      <c r="A14" s="14" t="s">
        <v>18</v>
      </c>
      <c r="B14" s="11"/>
      <c r="C14" s="11"/>
      <c r="D14" s="11"/>
      <c r="E14" s="11"/>
      <c r="F14" s="37"/>
      <c r="G14" s="11"/>
      <c r="H14" s="71">
        <f>IF(F13="double",4,2)</f>
        <v>2</v>
      </c>
      <c r="I14" s="39"/>
      <c r="J14" s="11"/>
      <c r="K14" s="11"/>
    </row>
    <row r="15" spans="1:11" ht="12.75">
      <c r="A15" s="14" t="s">
        <v>19</v>
      </c>
      <c r="B15" s="11"/>
      <c r="C15" s="11"/>
      <c r="D15" s="11"/>
      <c r="E15" s="11"/>
      <c r="F15" s="37"/>
      <c r="G15" s="11"/>
      <c r="H15" s="38" t="s">
        <v>20</v>
      </c>
      <c r="I15" s="39"/>
      <c r="J15" s="11"/>
      <c r="K15" s="11"/>
    </row>
    <row r="16" spans="1:11" ht="12.75">
      <c r="A16" s="11"/>
      <c r="B16" s="11"/>
      <c r="C16" s="11" t="s">
        <v>21</v>
      </c>
      <c r="D16" s="11"/>
      <c r="E16" s="11"/>
      <c r="F16" s="59">
        <v>0</v>
      </c>
      <c r="G16" s="11"/>
      <c r="H16" s="42">
        <f>H14*1.2*F16/1000</f>
        <v>0</v>
      </c>
      <c r="I16" s="39">
        <v>0</v>
      </c>
      <c r="J16" s="11"/>
      <c r="K16" s="11"/>
    </row>
    <row r="17" spans="1:11" ht="12.75">
      <c r="A17" s="11"/>
      <c r="B17" s="11"/>
      <c r="C17" s="11" t="s">
        <v>22</v>
      </c>
      <c r="D17" s="11"/>
      <c r="E17" s="11"/>
      <c r="F17" s="59">
        <v>0</v>
      </c>
      <c r="G17" s="11"/>
      <c r="H17" s="43">
        <f>((1200/F18)*2.4*F17/1000)*1.1</f>
        <v>0</v>
      </c>
      <c r="I17" s="39">
        <v>0</v>
      </c>
      <c r="J17" s="11"/>
      <c r="K17" s="11"/>
    </row>
    <row r="18" spans="1:11" ht="12.75">
      <c r="A18" s="11"/>
      <c r="B18" s="11"/>
      <c r="C18" s="11" t="s">
        <v>23</v>
      </c>
      <c r="D18" s="11"/>
      <c r="E18" s="11"/>
      <c r="F18" s="59">
        <v>1</v>
      </c>
      <c r="G18" s="11"/>
      <c r="H18" s="100"/>
      <c r="I18" s="39">
        <v>1</v>
      </c>
      <c r="J18" s="11"/>
      <c r="K18" s="11"/>
    </row>
    <row r="19" spans="1:11" ht="12.75">
      <c r="A19" s="11"/>
      <c r="B19" s="11"/>
      <c r="C19" s="11" t="s">
        <v>24</v>
      </c>
      <c r="D19" s="11"/>
      <c r="E19" s="11"/>
      <c r="F19" s="59">
        <v>0</v>
      </c>
      <c r="G19" s="11"/>
      <c r="H19" s="43">
        <f>(1.2*F20*(F19/1000))-((F17/1000)*1200/F18)</f>
        <v>0</v>
      </c>
      <c r="I19" s="39">
        <v>0</v>
      </c>
      <c r="J19" s="11"/>
      <c r="K19" s="11"/>
    </row>
    <row r="20" spans="1:11" ht="12.75">
      <c r="A20" s="11"/>
      <c r="B20" s="11"/>
      <c r="C20" s="11" t="s">
        <v>25</v>
      </c>
      <c r="D20" s="11"/>
      <c r="E20" s="11"/>
      <c r="F20" s="59">
        <v>0</v>
      </c>
      <c r="G20" s="11"/>
      <c r="H20" s="101"/>
      <c r="I20" s="39">
        <v>0</v>
      </c>
      <c r="J20" s="11"/>
      <c r="K20" s="11"/>
    </row>
    <row r="21" spans="1:11" ht="13.5" thickBot="1">
      <c r="A21" s="11"/>
      <c r="B21" s="11"/>
      <c r="C21" s="11"/>
      <c r="D21" s="11"/>
      <c r="E21" s="11"/>
      <c r="F21" s="11"/>
      <c r="G21" s="11"/>
      <c r="H21" s="45">
        <f>SUM(H16:H20)</f>
        <v>0</v>
      </c>
      <c r="J21" s="11"/>
      <c r="K21" s="11"/>
    </row>
    <row r="22" spans="1:11" ht="13.5" thickTop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4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4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1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12.75">
      <c r="A27" s="51" t="s">
        <v>29</v>
      </c>
    </row>
    <row r="28" ht="12.75">
      <c r="A28" s="51" t="s">
        <v>30</v>
      </c>
    </row>
    <row r="30" ht="12.75">
      <c r="A30" s="23" t="s">
        <v>31</v>
      </c>
    </row>
    <row r="31" ht="12.75">
      <c r="A31" s="23" t="s">
        <v>32</v>
      </c>
    </row>
    <row r="32" ht="12.75">
      <c r="A32" s="23" t="s">
        <v>33</v>
      </c>
    </row>
  </sheetData>
  <printOptions gridLines="1"/>
  <pageMargins left="0.75" right="0.75" top="1" bottom="1" header="0.5" footer="0.5"/>
  <pageSetup horizontalDpi="360" verticalDpi="360" orientation="portrait" paperSize="9" scale="9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75" sqref="A75"/>
    </sheetView>
  </sheetViews>
  <sheetFormatPr defaultColWidth="9.00390625" defaultRowHeight="12.75"/>
  <cols>
    <col min="1" max="1" width="25.25390625" style="0" customWidth="1"/>
    <col min="2" max="2" width="10.00390625" style="0" customWidth="1"/>
    <col min="3" max="3" width="8.50390625" style="0" hidden="1" customWidth="1"/>
    <col min="4" max="4" width="8.75390625" style="0" hidden="1" customWidth="1"/>
    <col min="5" max="5" width="10.875" style="0" customWidth="1"/>
    <col min="6" max="7" width="8.125" style="0" customWidth="1"/>
    <col min="8" max="8" width="10.375" style="0" customWidth="1"/>
    <col min="9" max="9" width="33.625" style="0" customWidth="1"/>
  </cols>
  <sheetData>
    <row r="1" spans="1:9" ht="51">
      <c r="A1" s="112" t="s">
        <v>78</v>
      </c>
      <c r="B1" s="112" t="s">
        <v>79</v>
      </c>
      <c r="C1" s="113" t="s">
        <v>80</v>
      </c>
      <c r="D1" s="113"/>
      <c r="E1" s="199" t="s">
        <v>232</v>
      </c>
      <c r="F1" s="200"/>
      <c r="G1" s="161" t="s">
        <v>237</v>
      </c>
      <c r="H1" s="162" t="str">
        <f>IF(E77+F77=1,"Therml. Conduct. W/m2oC","ERROR - ERROR - ERROR!!")</f>
        <v>ERROR - ERROR - ERROR!!</v>
      </c>
      <c r="I1" s="163" t="s">
        <v>228</v>
      </c>
    </row>
    <row r="2" spans="1:9" ht="12.75">
      <c r="A2" s="83"/>
      <c r="B2" s="83"/>
      <c r="C2" s="64" t="s">
        <v>81</v>
      </c>
      <c r="D2" s="64" t="s">
        <v>82</v>
      </c>
      <c r="E2" s="65" t="s">
        <v>81</v>
      </c>
      <c r="F2" s="66" t="s">
        <v>82</v>
      </c>
      <c r="G2" s="139"/>
      <c r="H2" s="116" t="s">
        <v>83</v>
      </c>
      <c r="I2" s="64" t="s">
        <v>84</v>
      </c>
    </row>
    <row r="3" spans="1:9" ht="12.75">
      <c r="A3" s="30"/>
      <c r="B3" s="30">
        <v>400</v>
      </c>
      <c r="C3" s="68">
        <v>0.15</v>
      </c>
      <c r="D3" s="68">
        <v>0.16</v>
      </c>
      <c r="E3" s="69"/>
      <c r="F3" s="70"/>
      <c r="G3" s="70">
        <f>(F3*B3)+(E3*B3)</f>
        <v>0</v>
      </c>
      <c r="H3" s="68">
        <f>IF(E3=1,E3*C3,F3*D3)</f>
        <v>0</v>
      </c>
      <c r="I3" s="30"/>
    </row>
    <row r="4" spans="1:9" ht="12.75">
      <c r="A4" s="88" t="s">
        <v>85</v>
      </c>
      <c r="B4" s="30">
        <v>500</v>
      </c>
      <c r="C4" s="68">
        <v>0.16</v>
      </c>
      <c r="D4" s="68">
        <v>0.18</v>
      </c>
      <c r="E4" s="69"/>
      <c r="F4" s="70"/>
      <c r="G4" s="70">
        <f aca="true" t="shared" si="0" ref="G4:G29">(F4*B4)+(E4*B4)</f>
        <v>0</v>
      </c>
      <c r="H4" s="68">
        <f>IF(E4=1,E4*C4,F4*D4)</f>
        <v>0</v>
      </c>
      <c r="I4" s="30"/>
    </row>
    <row r="5" spans="1:9" ht="12.75">
      <c r="A5" s="88" t="s">
        <v>86</v>
      </c>
      <c r="B5" s="30">
        <v>600</v>
      </c>
      <c r="C5" s="68">
        <v>0.19</v>
      </c>
      <c r="D5" s="68">
        <v>0.2</v>
      </c>
      <c r="E5" s="69"/>
      <c r="F5" s="70"/>
      <c r="G5" s="70">
        <f t="shared" si="0"/>
        <v>0</v>
      </c>
      <c r="H5" s="68">
        <f>IF(E5=1,E5*C5,F5*D5)</f>
        <v>0</v>
      </c>
      <c r="I5" s="30"/>
    </row>
    <row r="6" spans="1:9" ht="12.75">
      <c r="A6" s="88" t="s">
        <v>229</v>
      </c>
      <c r="B6" s="71"/>
      <c r="C6" s="72"/>
      <c r="D6" s="72"/>
      <c r="E6" s="73"/>
      <c r="F6" s="74"/>
      <c r="G6" s="72"/>
      <c r="H6" s="72"/>
      <c r="I6" s="30"/>
    </row>
    <row r="7" spans="1:9" ht="12.75">
      <c r="A7" s="30"/>
      <c r="B7" s="30">
        <v>700</v>
      </c>
      <c r="C7" s="68">
        <v>0.21</v>
      </c>
      <c r="D7" s="68">
        <v>0.23</v>
      </c>
      <c r="E7" s="69"/>
      <c r="F7" s="70"/>
      <c r="G7" s="70">
        <f t="shared" si="0"/>
        <v>0</v>
      </c>
      <c r="H7" s="68">
        <f>IF(E7=1,E7*C7,F7*D7)</f>
        <v>0</v>
      </c>
      <c r="I7" s="30"/>
    </row>
    <row r="8" spans="1:9" ht="12.75">
      <c r="A8" s="30"/>
      <c r="B8" s="30">
        <v>800</v>
      </c>
      <c r="C8" s="68">
        <v>0.23</v>
      </c>
      <c r="D8" s="68">
        <v>0.26</v>
      </c>
      <c r="E8" s="69"/>
      <c r="F8" s="70"/>
      <c r="G8" s="70">
        <f t="shared" si="0"/>
        <v>0</v>
      </c>
      <c r="H8" s="68">
        <f>IF(E8=1,E8*C8,F8*D8)</f>
        <v>0</v>
      </c>
      <c r="I8" s="30"/>
    </row>
    <row r="9" spans="1:9" ht="12.75">
      <c r="A9" s="30"/>
      <c r="B9" s="30">
        <v>900</v>
      </c>
      <c r="C9" s="68">
        <v>0.27</v>
      </c>
      <c r="D9" s="68">
        <v>0.3</v>
      </c>
      <c r="E9" s="69"/>
      <c r="F9" s="70"/>
      <c r="G9" s="70">
        <f t="shared" si="0"/>
        <v>0</v>
      </c>
      <c r="H9" s="68">
        <f>IF(E9=1,E9*C9,F9*D9)</f>
        <v>0</v>
      </c>
      <c r="I9" s="30"/>
    </row>
    <row r="10" spans="1:9" ht="12.75">
      <c r="A10" s="30"/>
      <c r="B10" s="71"/>
      <c r="C10" s="72"/>
      <c r="D10" s="72"/>
      <c r="E10" s="73"/>
      <c r="F10" s="74"/>
      <c r="G10" s="72"/>
      <c r="H10" s="72"/>
      <c r="I10" s="30"/>
    </row>
    <row r="11" spans="1:9" ht="12.75">
      <c r="A11" s="30"/>
      <c r="B11" s="30">
        <v>1000</v>
      </c>
      <c r="C11" s="68">
        <v>0.3</v>
      </c>
      <c r="D11" s="68">
        <v>0.33</v>
      </c>
      <c r="E11" s="69"/>
      <c r="F11" s="70"/>
      <c r="G11" s="70">
        <f t="shared" si="0"/>
        <v>0</v>
      </c>
      <c r="H11" s="68">
        <f>IF(E11=1,E11*C11,F11*D11)</f>
        <v>0</v>
      </c>
      <c r="I11" s="30"/>
    </row>
    <row r="12" spans="1:9" ht="12.75">
      <c r="A12" s="30"/>
      <c r="B12" s="30">
        <v>1100</v>
      </c>
      <c r="C12" s="68">
        <v>0.34</v>
      </c>
      <c r="D12" s="68">
        <v>0.38</v>
      </c>
      <c r="E12" s="69"/>
      <c r="F12" s="70"/>
      <c r="G12" s="70">
        <f t="shared" si="0"/>
        <v>0</v>
      </c>
      <c r="H12" s="68">
        <f>IF(E12=1,E12*C12,F12*D12)</f>
        <v>0</v>
      </c>
      <c r="I12" s="30"/>
    </row>
    <row r="13" spans="1:9" ht="12.75">
      <c r="A13" s="30"/>
      <c r="B13" s="30">
        <v>1200</v>
      </c>
      <c r="C13" s="68">
        <v>0.38</v>
      </c>
      <c r="D13" s="68">
        <v>0.442</v>
      </c>
      <c r="E13" s="69"/>
      <c r="F13" s="70"/>
      <c r="G13" s="70">
        <f t="shared" si="0"/>
        <v>0</v>
      </c>
      <c r="H13" s="68">
        <f>IF(E13=1,E13*C13,F13*D13)</f>
        <v>0</v>
      </c>
      <c r="I13" s="30"/>
    </row>
    <row r="14" spans="1:9" ht="12.75">
      <c r="A14" s="30"/>
      <c r="B14" s="71"/>
      <c r="C14" s="72"/>
      <c r="D14" s="72"/>
      <c r="E14" s="73"/>
      <c r="F14" s="74"/>
      <c r="G14" s="72"/>
      <c r="H14" s="72"/>
      <c r="I14" s="30"/>
    </row>
    <row r="15" spans="1:9" ht="12.75">
      <c r="A15" s="30" t="s">
        <v>87</v>
      </c>
      <c r="B15" s="30">
        <v>1300</v>
      </c>
      <c r="C15" s="68">
        <v>0.44</v>
      </c>
      <c r="D15" s="68">
        <v>0.49</v>
      </c>
      <c r="E15" s="69"/>
      <c r="F15" s="70"/>
      <c r="G15" s="70">
        <f t="shared" si="0"/>
        <v>0</v>
      </c>
      <c r="H15" s="68">
        <f>IF(E15=1,E15*C15,F15*D15)</f>
        <v>0</v>
      </c>
      <c r="I15" s="30"/>
    </row>
    <row r="16" spans="1:9" ht="12.75">
      <c r="A16" s="30" t="s">
        <v>88</v>
      </c>
      <c r="B16" s="30">
        <v>1400</v>
      </c>
      <c r="C16" s="68">
        <v>0.51</v>
      </c>
      <c r="D16" s="68">
        <v>0.57</v>
      </c>
      <c r="E16" s="69"/>
      <c r="F16" s="70"/>
      <c r="G16" s="70">
        <f t="shared" si="0"/>
        <v>0</v>
      </c>
      <c r="H16" s="68">
        <f>IF(E16=1,E16*C16,F16*D16)</f>
        <v>0</v>
      </c>
      <c r="I16" s="30"/>
    </row>
    <row r="17" spans="1:9" ht="12.75">
      <c r="A17" s="30"/>
      <c r="B17" s="30">
        <v>1500</v>
      </c>
      <c r="C17" s="68">
        <v>0.59</v>
      </c>
      <c r="D17" s="68">
        <v>0.65</v>
      </c>
      <c r="E17" s="69"/>
      <c r="F17" s="70"/>
      <c r="G17" s="70">
        <f t="shared" si="0"/>
        <v>0</v>
      </c>
      <c r="H17" s="68">
        <f>IF(E17=1,E17*C17,F17*D17)</f>
        <v>0</v>
      </c>
      <c r="I17" s="30"/>
    </row>
    <row r="18" spans="1:9" ht="12.75">
      <c r="A18" s="30"/>
      <c r="B18" s="71"/>
      <c r="C18" s="72"/>
      <c r="D18" s="72"/>
      <c r="E18" s="73"/>
      <c r="F18" s="74"/>
      <c r="G18" s="72"/>
      <c r="H18" s="72"/>
      <c r="I18" s="30"/>
    </row>
    <row r="19" spans="1:9" ht="12.75">
      <c r="A19" s="30"/>
      <c r="B19" s="30">
        <v>1600</v>
      </c>
      <c r="C19" s="68">
        <v>0.66</v>
      </c>
      <c r="D19" s="68">
        <v>0.73</v>
      </c>
      <c r="E19" s="69"/>
      <c r="F19" s="70"/>
      <c r="G19" s="70">
        <f t="shared" si="0"/>
        <v>0</v>
      </c>
      <c r="H19" s="68">
        <f>IF(E19=1,E19*C19,F19*D19)</f>
        <v>0</v>
      </c>
      <c r="I19" s="30"/>
    </row>
    <row r="20" spans="1:9" ht="12.75">
      <c r="A20" s="30"/>
      <c r="B20" s="30">
        <v>1700</v>
      </c>
      <c r="C20" s="68">
        <v>0.76</v>
      </c>
      <c r="D20" s="68">
        <v>0.84</v>
      </c>
      <c r="E20" s="69"/>
      <c r="F20" s="70"/>
      <c r="G20" s="70">
        <f t="shared" si="0"/>
        <v>0</v>
      </c>
      <c r="H20" s="68">
        <f>IF(E20=1,E20*C20,F20*D20)</f>
        <v>0</v>
      </c>
      <c r="I20" s="30"/>
    </row>
    <row r="21" spans="1:9" ht="12.75">
      <c r="A21" s="30"/>
      <c r="B21" s="30">
        <v>1800</v>
      </c>
      <c r="C21" s="68">
        <v>0.87</v>
      </c>
      <c r="D21" s="68">
        <v>0.96</v>
      </c>
      <c r="E21" s="69"/>
      <c r="F21" s="70"/>
      <c r="G21" s="70">
        <f t="shared" si="0"/>
        <v>0</v>
      </c>
      <c r="H21" s="68">
        <f>IF(E21=1,E21*C21,F21*D21)</f>
        <v>0</v>
      </c>
      <c r="I21" s="30"/>
    </row>
    <row r="22" spans="1:9" ht="12.75">
      <c r="A22" s="30"/>
      <c r="B22" s="71"/>
      <c r="C22" s="72"/>
      <c r="D22" s="72"/>
      <c r="E22" s="73"/>
      <c r="F22" s="74"/>
      <c r="G22" s="72"/>
      <c r="H22" s="72"/>
      <c r="I22" s="30"/>
    </row>
    <row r="23" spans="1:9" ht="12.75">
      <c r="A23" s="30"/>
      <c r="B23" s="30">
        <v>1900</v>
      </c>
      <c r="C23" s="68">
        <v>0.99</v>
      </c>
      <c r="D23" s="68">
        <v>1.09</v>
      </c>
      <c r="E23" s="69"/>
      <c r="F23" s="70"/>
      <c r="G23" s="70">
        <f t="shared" si="0"/>
        <v>0</v>
      </c>
      <c r="H23" s="68">
        <f>IF(E23=1,E23*C23,F23*D23)</f>
        <v>0</v>
      </c>
      <c r="I23" s="30"/>
    </row>
    <row r="24" spans="1:9" ht="12.75">
      <c r="A24" s="30"/>
      <c r="B24" s="30">
        <v>2000</v>
      </c>
      <c r="C24" s="68">
        <v>1.13</v>
      </c>
      <c r="D24" s="68">
        <v>1.24</v>
      </c>
      <c r="E24" s="69"/>
      <c r="F24" s="70"/>
      <c r="G24" s="70">
        <f t="shared" si="0"/>
        <v>0</v>
      </c>
      <c r="H24" s="68">
        <f>IF(E24=1,E24*C24,F24*D24)</f>
        <v>0</v>
      </c>
      <c r="I24" s="30"/>
    </row>
    <row r="25" spans="1:9" ht="12.75">
      <c r="A25" s="30"/>
      <c r="B25" s="30">
        <v>2100</v>
      </c>
      <c r="C25" s="68">
        <v>1.28</v>
      </c>
      <c r="D25" s="68">
        <v>1.4</v>
      </c>
      <c r="E25" s="69"/>
      <c r="F25" s="70"/>
      <c r="G25" s="70">
        <f t="shared" si="0"/>
        <v>0</v>
      </c>
      <c r="H25" s="68">
        <f>IF(E25=1,E25*C25,F25*D25)</f>
        <v>0</v>
      </c>
      <c r="I25" s="30"/>
    </row>
    <row r="26" spans="1:9" ht="12.75">
      <c r="A26" s="30"/>
      <c r="B26" s="71"/>
      <c r="C26" s="72"/>
      <c r="D26" s="72"/>
      <c r="E26" s="73"/>
      <c r="F26" s="74"/>
      <c r="G26" s="72"/>
      <c r="H26" s="72"/>
      <c r="I26" s="30"/>
    </row>
    <row r="27" spans="1:9" ht="12.75">
      <c r="A27" s="30"/>
      <c r="B27" s="30">
        <v>2200</v>
      </c>
      <c r="C27" s="68">
        <v>1.45</v>
      </c>
      <c r="D27" s="68">
        <v>1.6</v>
      </c>
      <c r="E27" s="69"/>
      <c r="F27" s="70"/>
      <c r="G27" s="70">
        <f t="shared" si="0"/>
        <v>0</v>
      </c>
      <c r="H27" s="68">
        <f>IF(E27=1,E27*C27,F27*D27)</f>
        <v>0</v>
      </c>
      <c r="I27" s="30"/>
    </row>
    <row r="28" spans="1:9" ht="12.75">
      <c r="A28" s="30"/>
      <c r="B28" s="30">
        <v>2300</v>
      </c>
      <c r="C28" s="68">
        <v>1.63</v>
      </c>
      <c r="D28" s="68">
        <v>1.8</v>
      </c>
      <c r="E28" s="69"/>
      <c r="F28" s="70"/>
      <c r="G28" s="70">
        <f t="shared" si="0"/>
        <v>0</v>
      </c>
      <c r="H28" s="68">
        <f>IF(E28=1,E28*C28,F28*D28)</f>
        <v>0</v>
      </c>
      <c r="I28" s="30"/>
    </row>
    <row r="29" spans="1:9" ht="12.75">
      <c r="A29" s="30"/>
      <c r="B29" s="30">
        <v>2400</v>
      </c>
      <c r="C29" s="68">
        <v>1.83</v>
      </c>
      <c r="D29" s="68">
        <v>2</v>
      </c>
      <c r="E29" s="69"/>
      <c r="F29" s="70"/>
      <c r="G29" s="70">
        <f t="shared" si="0"/>
        <v>0</v>
      </c>
      <c r="H29" s="68">
        <f>IF(E29=1,E29*C29,F29*D29)</f>
        <v>0</v>
      </c>
      <c r="I29" s="30"/>
    </row>
    <row r="30" spans="1:9" ht="12.75">
      <c r="A30" s="30"/>
      <c r="B30" s="30"/>
      <c r="C30" s="68"/>
      <c r="D30" s="68"/>
      <c r="E30" s="81"/>
      <c r="F30" s="81"/>
      <c r="G30" s="193" t="s">
        <v>89</v>
      </c>
      <c r="H30" s="194"/>
      <c r="I30" s="30"/>
    </row>
    <row r="31" spans="1:9" ht="12.75">
      <c r="A31" s="30"/>
      <c r="E31" s="82"/>
      <c r="F31" s="82"/>
      <c r="G31" s="164">
        <f>SUM(G3:G29)</f>
        <v>0</v>
      </c>
      <c r="H31" s="164">
        <f>SUM(H3:H29)</f>
        <v>0</v>
      </c>
      <c r="I31" s="30"/>
    </row>
    <row r="32" spans="1:9" ht="12.75">
      <c r="A32" s="75"/>
      <c r="B32" s="75"/>
      <c r="C32" s="76"/>
      <c r="D32" s="76"/>
      <c r="E32" s="77"/>
      <c r="F32" s="78"/>
      <c r="G32" s="78"/>
      <c r="H32" s="76"/>
      <c r="I32" s="75"/>
    </row>
    <row r="33" spans="1:9" ht="52.5" customHeight="1">
      <c r="A33" s="112" t="s">
        <v>78</v>
      </c>
      <c r="B33" s="112" t="s">
        <v>79</v>
      </c>
      <c r="C33" s="113" t="s">
        <v>90</v>
      </c>
      <c r="D33" s="113"/>
      <c r="E33" s="199" t="s">
        <v>232</v>
      </c>
      <c r="F33" s="200"/>
      <c r="G33" s="161" t="s">
        <v>237</v>
      </c>
      <c r="H33" s="114" t="str">
        <f>IF(E77+F77=1,"Therml. Conduct. W/m2oC","ERROR - ERROR - ERROR!!")</f>
        <v>ERROR - ERROR - ERROR!!</v>
      </c>
      <c r="I33" s="115" t="s">
        <v>84</v>
      </c>
    </row>
    <row r="34" spans="1:9" ht="12.75">
      <c r="A34" s="44"/>
      <c r="B34" s="44"/>
      <c r="C34" s="64" t="s">
        <v>81</v>
      </c>
      <c r="D34" s="64" t="s">
        <v>82</v>
      </c>
      <c r="E34" s="65" t="s">
        <v>81</v>
      </c>
      <c r="F34" s="66" t="s">
        <v>82</v>
      </c>
      <c r="G34" s="139"/>
      <c r="H34" s="116" t="s">
        <v>83</v>
      </c>
      <c r="I34" s="30"/>
    </row>
    <row r="35" spans="1:9" ht="12.75">
      <c r="A35" s="30"/>
      <c r="B35" s="30">
        <v>1200</v>
      </c>
      <c r="C35" s="68">
        <v>0.31</v>
      </c>
      <c r="D35" s="68">
        <v>0.42</v>
      </c>
      <c r="E35" s="69"/>
      <c r="F35" s="70"/>
      <c r="G35" s="70">
        <f aca="true" t="shared" si="1" ref="G35:G45">(F35*B35)+(E35*B35)</f>
        <v>0</v>
      </c>
      <c r="H35" s="68">
        <f>IF(E35=1,E35*C35,F35*D35)</f>
        <v>0</v>
      </c>
      <c r="I35" s="30"/>
    </row>
    <row r="36" spans="1:9" ht="12.75">
      <c r="A36" s="88" t="s">
        <v>91</v>
      </c>
      <c r="B36" s="30">
        <v>1300</v>
      </c>
      <c r="C36" s="68">
        <v>0.36</v>
      </c>
      <c r="D36" s="68">
        <v>0.49</v>
      </c>
      <c r="E36" s="69"/>
      <c r="F36" s="70"/>
      <c r="G36" s="70">
        <f t="shared" si="1"/>
        <v>0</v>
      </c>
      <c r="H36" s="68">
        <f>IF(E36=1,E36*C36,F36*D36)</f>
        <v>0</v>
      </c>
      <c r="I36" s="30"/>
    </row>
    <row r="37" spans="1:9" ht="12.75">
      <c r="A37" s="88" t="s">
        <v>92</v>
      </c>
      <c r="B37" s="30">
        <v>1400</v>
      </c>
      <c r="C37" s="68">
        <v>0.42</v>
      </c>
      <c r="D37" s="68">
        <v>0.57</v>
      </c>
      <c r="E37" s="69"/>
      <c r="F37" s="70"/>
      <c r="G37" s="70">
        <f t="shared" si="1"/>
        <v>0</v>
      </c>
      <c r="H37" s="68">
        <f>IF(E37=1,E37*C37,F37*D37)</f>
        <v>0</v>
      </c>
      <c r="I37" s="30"/>
    </row>
    <row r="38" spans="1:9" ht="12.75">
      <c r="A38" s="30"/>
      <c r="B38" s="71"/>
      <c r="C38" s="72"/>
      <c r="D38" s="72"/>
      <c r="E38" s="73"/>
      <c r="F38" s="74"/>
      <c r="G38" s="74"/>
      <c r="H38" s="72"/>
      <c r="I38" s="30"/>
    </row>
    <row r="39" spans="1:9" ht="12.75">
      <c r="A39" s="30"/>
      <c r="B39" s="30">
        <v>1500</v>
      </c>
      <c r="C39" s="68">
        <v>0.48</v>
      </c>
      <c r="D39" s="68">
        <v>0.65</v>
      </c>
      <c r="E39" s="69"/>
      <c r="F39" s="70"/>
      <c r="G39" s="70">
        <f t="shared" si="1"/>
        <v>0</v>
      </c>
      <c r="H39" s="68">
        <f>IF(E39=1,E39*C39,F39*D39)</f>
        <v>0</v>
      </c>
      <c r="I39" s="30"/>
    </row>
    <row r="40" spans="1:9" ht="12.75">
      <c r="A40" s="30" t="s">
        <v>93</v>
      </c>
      <c r="B40" s="30">
        <v>1600</v>
      </c>
      <c r="C40" s="68">
        <v>0.54</v>
      </c>
      <c r="D40" s="68">
        <v>0.73</v>
      </c>
      <c r="E40" s="69"/>
      <c r="F40" s="70"/>
      <c r="G40" s="70">
        <f t="shared" si="1"/>
        <v>0</v>
      </c>
      <c r="H40" s="68">
        <f>IF(E40=1,E40*C40,F40*D40)</f>
        <v>0</v>
      </c>
      <c r="I40" s="30"/>
    </row>
    <row r="41" spans="1:9" ht="12.75">
      <c r="A41" s="30" t="s">
        <v>94</v>
      </c>
      <c r="B41" s="30">
        <v>1700</v>
      </c>
      <c r="C41" s="68">
        <v>0.62</v>
      </c>
      <c r="D41" s="68">
        <v>0.84</v>
      </c>
      <c r="E41" s="69"/>
      <c r="F41" s="70"/>
      <c r="G41" s="70">
        <f t="shared" si="1"/>
        <v>0</v>
      </c>
      <c r="H41" s="68">
        <f>IF(E41=1,E41*C41,F41*D41)</f>
        <v>0</v>
      </c>
      <c r="I41" s="30"/>
    </row>
    <row r="42" spans="1:9" ht="12.75">
      <c r="A42" s="30"/>
      <c r="B42" s="71"/>
      <c r="C42" s="72"/>
      <c r="D42" s="72"/>
      <c r="E42" s="73"/>
      <c r="F42" s="74"/>
      <c r="G42" s="74"/>
      <c r="H42" s="72"/>
      <c r="I42" s="30"/>
    </row>
    <row r="43" spans="1:9" ht="12.75">
      <c r="A43" s="30"/>
      <c r="B43" s="30">
        <v>1800</v>
      </c>
      <c r="C43" s="68">
        <v>0.71</v>
      </c>
      <c r="D43" s="68">
        <v>0.96</v>
      </c>
      <c r="E43" s="69"/>
      <c r="F43" s="70"/>
      <c r="G43" s="70">
        <f t="shared" si="1"/>
        <v>0</v>
      </c>
      <c r="H43" s="68">
        <f>IF(E43=1,E43*C43,F43*D43)</f>
        <v>0</v>
      </c>
      <c r="I43" s="30"/>
    </row>
    <row r="44" spans="1:9" ht="12.75">
      <c r="A44" s="30"/>
      <c r="B44" s="30">
        <v>1900</v>
      </c>
      <c r="C44" s="68">
        <v>0.81</v>
      </c>
      <c r="D44" s="68">
        <v>1.09</v>
      </c>
      <c r="E44" s="69"/>
      <c r="F44" s="70"/>
      <c r="G44" s="70">
        <f t="shared" si="1"/>
        <v>0</v>
      </c>
      <c r="H44" s="68">
        <f>IF(E44=1,E44*C44,F44*D44)</f>
        <v>0</v>
      </c>
      <c r="I44" s="30"/>
    </row>
    <row r="45" spans="1:9" ht="12.75">
      <c r="A45" s="30"/>
      <c r="B45" s="30">
        <v>2000</v>
      </c>
      <c r="C45" s="68">
        <v>0.92</v>
      </c>
      <c r="D45" s="68">
        <v>1.24</v>
      </c>
      <c r="E45" s="69"/>
      <c r="F45" s="70"/>
      <c r="G45" s="70">
        <f t="shared" si="1"/>
        <v>0</v>
      </c>
      <c r="H45" s="68">
        <f>IF(E45=1,E45*C45,F45*D45)</f>
        <v>0</v>
      </c>
      <c r="I45" s="30"/>
    </row>
    <row r="46" spans="1:9" ht="13.5" thickBot="1">
      <c r="A46" s="11"/>
      <c r="B46" s="11"/>
      <c r="C46" s="11"/>
      <c r="D46" s="11"/>
      <c r="E46" s="81"/>
      <c r="F46" s="81"/>
      <c r="G46" s="195" t="s">
        <v>89</v>
      </c>
      <c r="H46" s="196"/>
      <c r="I46" s="11"/>
    </row>
    <row r="47" spans="1:9" ht="13.5" thickBot="1">
      <c r="A47" s="11"/>
      <c r="B47" s="11"/>
      <c r="C47" s="11"/>
      <c r="D47" s="11"/>
      <c r="E47" s="82"/>
      <c r="F47" s="82"/>
      <c r="G47" s="79">
        <f>SUM(G35:G45)</f>
        <v>0</v>
      </c>
      <c r="H47" s="79">
        <f>SUM(H35:H45)</f>
        <v>0</v>
      </c>
      <c r="I47" s="11"/>
    </row>
    <row r="48" spans="1:9" ht="12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52.5" customHeight="1">
      <c r="A49" s="112" t="s">
        <v>78</v>
      </c>
      <c r="B49" s="112" t="s">
        <v>79</v>
      </c>
      <c r="C49" s="113" t="s">
        <v>90</v>
      </c>
      <c r="D49" s="113"/>
      <c r="E49" s="199" t="s">
        <v>232</v>
      </c>
      <c r="F49" s="200"/>
      <c r="G49" s="161" t="s">
        <v>237</v>
      </c>
      <c r="H49" s="114" t="str">
        <f>IF(E77+F77=1,"Therml. Conduct. W/m2oC","ERROR - ERROR - ERROR!!")</f>
        <v>ERROR - ERROR - ERROR!!</v>
      </c>
      <c r="I49" s="115" t="s">
        <v>84</v>
      </c>
    </row>
    <row r="50" spans="1:9" ht="12.75">
      <c r="A50" s="44"/>
      <c r="B50" s="44"/>
      <c r="C50" s="64" t="s">
        <v>81</v>
      </c>
      <c r="D50" s="64" t="s">
        <v>82</v>
      </c>
      <c r="E50" s="65" t="s">
        <v>81</v>
      </c>
      <c r="F50" s="66" t="s">
        <v>82</v>
      </c>
      <c r="G50" s="139"/>
      <c r="H50" s="67" t="s">
        <v>83</v>
      </c>
      <c r="I50" s="30"/>
    </row>
    <row r="51" spans="1:8" ht="12.75">
      <c r="A51" s="89" t="s">
        <v>95</v>
      </c>
      <c r="B51" s="85">
        <v>2000</v>
      </c>
      <c r="C51" s="91">
        <v>1.3</v>
      </c>
      <c r="D51" s="91">
        <v>1.41</v>
      </c>
      <c r="E51" s="94"/>
      <c r="F51" s="95"/>
      <c r="G51" s="70">
        <f>(F51*B51)+(E51*B51)</f>
        <v>0</v>
      </c>
      <c r="H51" s="68">
        <f aca="true" t="shared" si="2" ref="H51:H63">IF(E51=1,E51*C51,F51*D51)</f>
        <v>0</v>
      </c>
    </row>
    <row r="52" spans="1:8" ht="12.75">
      <c r="A52" s="84"/>
      <c r="B52" s="86"/>
      <c r="C52" s="92"/>
      <c r="D52" s="92"/>
      <c r="E52" s="96"/>
      <c r="F52" s="97"/>
      <c r="G52" s="97"/>
      <c r="H52" s="86"/>
    </row>
    <row r="53" spans="1:8" ht="12.75">
      <c r="A53" s="89" t="s">
        <v>96</v>
      </c>
      <c r="B53" s="90">
        <v>2500</v>
      </c>
      <c r="C53" s="93">
        <v>2</v>
      </c>
      <c r="D53" s="93">
        <v>2.2</v>
      </c>
      <c r="E53" s="98"/>
      <c r="F53" s="99"/>
      <c r="G53" s="70">
        <f>(F53*B53)+(E53*B53)</f>
        <v>0</v>
      </c>
      <c r="H53" s="68">
        <f t="shared" si="2"/>
        <v>0</v>
      </c>
    </row>
    <row r="54" spans="1:8" ht="12.75">
      <c r="A54" s="84"/>
      <c r="B54" s="86"/>
      <c r="C54" s="92"/>
      <c r="D54" s="92"/>
      <c r="E54" s="96"/>
      <c r="F54" s="97"/>
      <c r="G54" s="97"/>
      <c r="H54" s="86"/>
    </row>
    <row r="55" spans="1:8" ht="12.75">
      <c r="A55" s="89" t="s">
        <v>97</v>
      </c>
      <c r="B55" s="90">
        <v>2700</v>
      </c>
      <c r="C55" s="93">
        <v>1.9</v>
      </c>
      <c r="D55" s="93">
        <v>2.1</v>
      </c>
      <c r="E55" s="98"/>
      <c r="F55" s="99"/>
      <c r="G55" s="70">
        <f>(F55*B55)+(E55*B55)</f>
        <v>0</v>
      </c>
      <c r="H55" s="68">
        <f t="shared" si="2"/>
        <v>0</v>
      </c>
    </row>
    <row r="56" spans="1:8" ht="12.75">
      <c r="A56" s="84"/>
      <c r="B56" s="86"/>
      <c r="C56" s="92"/>
      <c r="D56" s="92"/>
      <c r="E56" s="96"/>
      <c r="F56" s="97"/>
      <c r="G56" s="97"/>
      <c r="H56" s="86"/>
    </row>
    <row r="57" spans="1:8" ht="12.75">
      <c r="A57" s="89" t="s">
        <v>98</v>
      </c>
      <c r="B57" s="85">
        <v>2180</v>
      </c>
      <c r="C57" s="91">
        <v>1.5</v>
      </c>
      <c r="D57" s="91">
        <v>1.62</v>
      </c>
      <c r="E57" s="94"/>
      <c r="F57" s="95"/>
      <c r="G57" s="70">
        <f>(F57*B57)+(E57*B57)</f>
        <v>0</v>
      </c>
      <c r="H57" s="68">
        <f t="shared" si="2"/>
        <v>0</v>
      </c>
    </row>
    <row r="58" spans="1:8" ht="12.75">
      <c r="A58" s="84"/>
      <c r="B58" s="86"/>
      <c r="C58" s="92"/>
      <c r="D58" s="92"/>
      <c r="E58" s="96"/>
      <c r="F58" s="97"/>
      <c r="G58" s="97"/>
      <c r="H58" s="86"/>
    </row>
    <row r="59" spans="1:8" ht="12.75">
      <c r="A59" s="89" t="s">
        <v>99</v>
      </c>
      <c r="B59" s="85">
        <v>2600</v>
      </c>
      <c r="C59" s="91">
        <v>2.3</v>
      </c>
      <c r="D59" s="91">
        <v>2.6</v>
      </c>
      <c r="E59" s="94"/>
      <c r="F59" s="95"/>
      <c r="G59" s="70">
        <f>(F59*B59)+(E59*B59)</f>
        <v>0</v>
      </c>
      <c r="H59" s="68">
        <f t="shared" si="2"/>
        <v>0</v>
      </c>
    </row>
    <row r="60" spans="1:8" ht="12.75">
      <c r="A60" s="84"/>
      <c r="B60" s="86"/>
      <c r="C60" s="92"/>
      <c r="D60" s="92"/>
      <c r="E60" s="96"/>
      <c r="F60" s="97"/>
      <c r="G60" s="97"/>
      <c r="H60" s="86"/>
    </row>
    <row r="61" spans="1:8" ht="12.75">
      <c r="A61" s="89" t="s">
        <v>100</v>
      </c>
      <c r="B61" s="30">
        <v>1300</v>
      </c>
      <c r="C61" s="68">
        <v>0.44</v>
      </c>
      <c r="D61" s="68">
        <v>0.49</v>
      </c>
      <c r="E61" s="69"/>
      <c r="F61" s="70"/>
      <c r="G61" s="70">
        <f>(F61*B61)+(E61*B61)</f>
        <v>0</v>
      </c>
      <c r="H61" s="68">
        <f t="shared" si="2"/>
        <v>0</v>
      </c>
    </row>
    <row r="62" spans="1:8" ht="12.75">
      <c r="A62" s="85"/>
      <c r="B62" s="30">
        <v>1400</v>
      </c>
      <c r="C62" s="68">
        <v>0.51</v>
      </c>
      <c r="D62" s="68">
        <v>0.57</v>
      </c>
      <c r="E62" s="69"/>
      <c r="F62" s="70"/>
      <c r="G62" s="70">
        <f>(F62*B62)+(E62*B62)</f>
        <v>0</v>
      </c>
      <c r="H62" s="68">
        <f t="shared" si="2"/>
        <v>0</v>
      </c>
    </row>
    <row r="63" spans="1:8" ht="12.75">
      <c r="A63" s="85"/>
      <c r="B63" s="30">
        <v>1500</v>
      </c>
      <c r="C63" s="68">
        <v>0.59</v>
      </c>
      <c r="D63" s="68">
        <v>0.65</v>
      </c>
      <c r="E63" s="69"/>
      <c r="F63" s="70"/>
      <c r="G63" s="70">
        <f>(F63*B63)+(E63*B63)</f>
        <v>0</v>
      </c>
      <c r="H63" s="68">
        <f t="shared" si="2"/>
        <v>0</v>
      </c>
    </row>
    <row r="64" spans="1:8" ht="12.75">
      <c r="A64" s="30" t="s">
        <v>87</v>
      </c>
      <c r="B64" s="71"/>
      <c r="C64" s="72"/>
      <c r="D64" s="72"/>
      <c r="E64" s="73"/>
      <c r="F64" s="74"/>
      <c r="G64" s="74"/>
      <c r="H64" s="72"/>
    </row>
    <row r="65" spans="1:8" ht="12.75">
      <c r="A65" s="30" t="s">
        <v>235</v>
      </c>
      <c r="B65" s="30">
        <v>1600</v>
      </c>
      <c r="C65" s="68">
        <v>0.66</v>
      </c>
      <c r="D65" s="68">
        <v>0.73</v>
      </c>
      <c r="E65" s="69"/>
      <c r="F65" s="70"/>
      <c r="G65" s="70">
        <f>(F65*B65)+(E65*B65)</f>
        <v>0</v>
      </c>
      <c r="H65" s="68">
        <f>IF(E65=1,E65*C65,F65*D65)</f>
        <v>0</v>
      </c>
    </row>
    <row r="66" spans="1:9" ht="12.75">
      <c r="A66" s="30" t="s">
        <v>93</v>
      </c>
      <c r="B66" s="88">
        <v>1700</v>
      </c>
      <c r="C66" s="68">
        <v>0.76</v>
      </c>
      <c r="D66" s="68">
        <v>0.84</v>
      </c>
      <c r="E66" s="69"/>
      <c r="F66" s="70"/>
      <c r="G66" s="70">
        <f>(F66*B66)+(E66*B66)</f>
        <v>0</v>
      </c>
      <c r="H66" s="68">
        <f>IF(E66=1,E66*C66,F66*D66)</f>
        <v>0</v>
      </c>
      <c r="I66" s="117" t="s">
        <v>101</v>
      </c>
    </row>
    <row r="67" spans="1:8" ht="12.75">
      <c r="A67" s="30" t="s">
        <v>236</v>
      </c>
      <c r="B67" s="30">
        <v>1800</v>
      </c>
      <c r="C67" s="68">
        <v>0.87</v>
      </c>
      <c r="D67" s="68">
        <v>0.96</v>
      </c>
      <c r="E67" s="69"/>
      <c r="F67" s="70"/>
      <c r="G67" s="70">
        <f>(F67*B67)+(E67*B67)</f>
        <v>0</v>
      </c>
      <c r="H67" s="68">
        <f>IF(E67=1,E67*C67,F67*D67)</f>
        <v>0</v>
      </c>
    </row>
    <row r="68" spans="1:8" ht="12.75">
      <c r="A68" s="30" t="s">
        <v>94</v>
      </c>
      <c r="B68" s="71"/>
      <c r="C68" s="72"/>
      <c r="D68" s="72"/>
      <c r="E68" s="73"/>
      <c r="F68" s="74"/>
      <c r="G68" s="74"/>
      <c r="H68" s="72"/>
    </row>
    <row r="69" spans="1:8" ht="12.75">
      <c r="A69" s="85"/>
      <c r="B69" s="30">
        <v>1900</v>
      </c>
      <c r="C69" s="68">
        <v>0.99</v>
      </c>
      <c r="D69" s="68">
        <v>1.09</v>
      </c>
      <c r="E69" s="69"/>
      <c r="F69" s="70"/>
      <c r="G69" s="70">
        <f>(F69*B69)+(E69*B69)</f>
        <v>0</v>
      </c>
      <c r="H69" s="68">
        <f>IF(E69=1,E69*C69,F69*D69)</f>
        <v>0</v>
      </c>
    </row>
    <row r="70" spans="1:8" ht="12.75">
      <c r="A70" s="85"/>
      <c r="B70" s="30">
        <v>2000</v>
      </c>
      <c r="C70" s="68">
        <v>1.13</v>
      </c>
      <c r="D70" s="68">
        <v>1.24</v>
      </c>
      <c r="E70" s="69"/>
      <c r="F70" s="70"/>
      <c r="G70" s="70">
        <f>(F70*B70)+(E70*B70)</f>
        <v>0</v>
      </c>
      <c r="H70" s="68">
        <f>IF(E70=1,E70*C70,F70*D70)</f>
        <v>0</v>
      </c>
    </row>
    <row r="71" spans="1:8" ht="12.75">
      <c r="A71" s="85"/>
      <c r="B71" s="30">
        <v>2100</v>
      </c>
      <c r="C71" s="68">
        <v>1.28</v>
      </c>
      <c r="D71" s="68">
        <v>1.4</v>
      </c>
      <c r="E71" s="69"/>
      <c r="F71" s="70"/>
      <c r="G71" s="70">
        <f>(F71*B71)+(E71*B71)</f>
        <v>0</v>
      </c>
      <c r="H71" s="68">
        <f>IF(E71=1,E71*C71,F71*D71)</f>
        <v>0</v>
      </c>
    </row>
    <row r="72" spans="1:8" ht="12.75">
      <c r="A72" s="85"/>
      <c r="B72" s="71"/>
      <c r="C72" s="72"/>
      <c r="D72" s="72"/>
      <c r="E72" s="73"/>
      <c r="F72" s="74"/>
      <c r="G72" s="74"/>
      <c r="H72" s="72"/>
    </row>
    <row r="73" spans="1:8" ht="12.75">
      <c r="A73" s="85"/>
      <c r="B73" s="30">
        <v>2200</v>
      </c>
      <c r="C73" s="68">
        <v>1.45</v>
      </c>
      <c r="D73" s="68">
        <v>1.6</v>
      </c>
      <c r="E73" s="69"/>
      <c r="F73" s="70"/>
      <c r="G73" s="70">
        <f>(F73*B73)+(E73*B73)</f>
        <v>0</v>
      </c>
      <c r="H73" s="68">
        <f>IF(E73=1,E73*C73,F73*D73)</f>
        <v>0</v>
      </c>
    </row>
    <row r="74" spans="1:8" ht="12.75">
      <c r="A74" s="85"/>
      <c r="B74" s="30">
        <v>2300</v>
      </c>
      <c r="C74" s="68">
        <v>1.63</v>
      </c>
      <c r="D74" s="68">
        <v>1.8</v>
      </c>
      <c r="E74" s="69"/>
      <c r="F74" s="70"/>
      <c r="G74" s="70">
        <f>(F74*B74)+(E74*B74)</f>
        <v>0</v>
      </c>
      <c r="H74" s="68">
        <f>IF(E74=1,E74*C74,F74*D74)</f>
        <v>0</v>
      </c>
    </row>
    <row r="75" spans="1:8" ht="12.75">
      <c r="A75" s="85"/>
      <c r="B75" s="30">
        <v>2400</v>
      </c>
      <c r="C75" s="68">
        <v>1.83</v>
      </c>
      <c r="D75" s="68">
        <v>2</v>
      </c>
      <c r="E75" s="69"/>
      <c r="F75" s="70"/>
      <c r="G75" s="70">
        <f>(F75*B75)+(E75*B75)</f>
        <v>0</v>
      </c>
      <c r="H75" s="68">
        <f>IF(E75=1,E75*C75,F75*D75)</f>
        <v>0</v>
      </c>
    </row>
    <row r="76" spans="5:8" ht="12">
      <c r="E76" s="86"/>
      <c r="F76" s="86"/>
      <c r="G76" s="197" t="s">
        <v>89</v>
      </c>
      <c r="H76" s="198"/>
    </row>
    <row r="77" spans="5:8" ht="12">
      <c r="E77" s="86">
        <f>SUM(E3:E75)</f>
        <v>0</v>
      </c>
      <c r="F77" s="86">
        <f>SUM(F3:F75)</f>
        <v>0</v>
      </c>
      <c r="G77" s="87">
        <f>SUM(G51:G75)</f>
        <v>0</v>
      </c>
      <c r="H77" s="87">
        <f>SUM(H51:H75)</f>
        <v>0</v>
      </c>
    </row>
  </sheetData>
  <mergeCells count="6">
    <mergeCell ref="G30:H30"/>
    <mergeCell ref="G46:H46"/>
    <mergeCell ref="G76:H76"/>
    <mergeCell ref="E1:F1"/>
    <mergeCell ref="E33:F33"/>
    <mergeCell ref="E49:F49"/>
  </mergeCells>
  <printOptions/>
  <pageMargins left="0.75" right="0.75" top="1" bottom="1" header="0.5" footer="0.5"/>
  <pageSetup horizontalDpi="360" verticalDpi="360" orientation="portrait" paperSize="9" scale="8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I17" sqref="I17"/>
    </sheetView>
  </sheetViews>
  <sheetFormatPr defaultColWidth="9.00390625" defaultRowHeight="12.75"/>
  <cols>
    <col min="1" max="1" width="22.50390625" style="0" customWidth="1"/>
    <col min="3" max="4" width="0" style="0" hidden="1" customWidth="1"/>
    <col min="8" max="8" width="12.625" style="0" customWidth="1"/>
    <col min="9" max="9" width="34.50390625" style="0" customWidth="1"/>
  </cols>
  <sheetData>
    <row r="1" spans="1:9" ht="60" customHeight="1">
      <c r="A1" s="112" t="s">
        <v>78</v>
      </c>
      <c r="B1" s="112" t="s">
        <v>79</v>
      </c>
      <c r="C1" s="113" t="s">
        <v>80</v>
      </c>
      <c r="D1" s="113"/>
      <c r="E1" s="199" t="s">
        <v>231</v>
      </c>
      <c r="F1" s="200"/>
      <c r="G1" s="161" t="s">
        <v>237</v>
      </c>
      <c r="H1" s="162" t="str">
        <f>IF(E47+F47=1,"Therml. Conduct. W/m2oC","ERROR - ERROR - ERROR!!")</f>
        <v>ERROR - ERROR - ERROR!!</v>
      </c>
      <c r="I1" s="163" t="s">
        <v>228</v>
      </c>
    </row>
    <row r="2" spans="1:9" ht="12.75">
      <c r="A2" s="83"/>
      <c r="B2" s="83"/>
      <c r="C2" s="64" t="s">
        <v>81</v>
      </c>
      <c r="D2" s="64" t="s">
        <v>82</v>
      </c>
      <c r="E2" s="65" t="s">
        <v>81</v>
      </c>
      <c r="F2" s="66" t="s">
        <v>82</v>
      </c>
      <c r="G2" s="139"/>
      <c r="H2" s="116" t="s">
        <v>83</v>
      </c>
      <c r="I2" s="64" t="s">
        <v>84</v>
      </c>
    </row>
    <row r="3" spans="1:9" ht="12.75">
      <c r="A3" s="30"/>
      <c r="B3" s="30">
        <v>400</v>
      </c>
      <c r="C3" s="68">
        <v>0.15</v>
      </c>
      <c r="D3" s="68">
        <v>0.16</v>
      </c>
      <c r="E3" s="69"/>
      <c r="F3" s="70"/>
      <c r="G3" s="70">
        <f>(F3*B3)+(E3*B3)</f>
        <v>0</v>
      </c>
      <c r="H3" s="68">
        <f>IF(E3=1,E3*C3,F3*D3)</f>
        <v>0</v>
      </c>
      <c r="I3" s="30"/>
    </row>
    <row r="4" spans="1:9" ht="12.75">
      <c r="A4" s="88" t="s">
        <v>85</v>
      </c>
      <c r="B4" s="30">
        <v>500</v>
      </c>
      <c r="C4" s="68">
        <v>0.16</v>
      </c>
      <c r="D4" s="68">
        <v>0.18</v>
      </c>
      <c r="E4" s="69"/>
      <c r="F4" s="70"/>
      <c r="G4" s="70">
        <f aca="true" t="shared" si="0" ref="G4:G29">(F4*B4)+(E4*B4)</f>
        <v>0</v>
      </c>
      <c r="H4" s="68">
        <f>IF(E4=1,E4*C4,F4*D4)</f>
        <v>0</v>
      </c>
      <c r="I4" s="30"/>
    </row>
    <row r="5" spans="1:9" ht="12.75">
      <c r="A5" s="88" t="s">
        <v>86</v>
      </c>
      <c r="B5" s="30">
        <v>600</v>
      </c>
      <c r="C5" s="68">
        <v>0.19</v>
      </c>
      <c r="D5" s="68">
        <v>0.2</v>
      </c>
      <c r="E5" s="69"/>
      <c r="F5" s="70"/>
      <c r="G5" s="70">
        <f t="shared" si="0"/>
        <v>0</v>
      </c>
      <c r="H5" s="68">
        <f>IF(E5=1,E5*C5,F5*D5)</f>
        <v>0</v>
      </c>
      <c r="I5" s="30"/>
    </row>
    <row r="6" spans="1:9" ht="12.75">
      <c r="A6" s="88" t="s">
        <v>229</v>
      </c>
      <c r="B6" s="71"/>
      <c r="C6" s="72"/>
      <c r="D6" s="72"/>
      <c r="E6" s="73"/>
      <c r="F6" s="74"/>
      <c r="G6" s="72"/>
      <c r="H6" s="72"/>
      <c r="I6" s="30"/>
    </row>
    <row r="7" spans="1:9" ht="12.75">
      <c r="A7" s="30"/>
      <c r="B7" s="30">
        <v>700</v>
      </c>
      <c r="C7" s="68">
        <v>0.21</v>
      </c>
      <c r="D7" s="68">
        <v>0.23</v>
      </c>
      <c r="E7" s="69"/>
      <c r="F7" s="70"/>
      <c r="G7" s="70">
        <f t="shared" si="0"/>
        <v>0</v>
      </c>
      <c r="H7" s="68">
        <f>IF(E7=1,E7*C7,F7*D7)</f>
        <v>0</v>
      </c>
      <c r="I7" s="30"/>
    </row>
    <row r="8" spans="1:9" ht="12.75">
      <c r="A8" s="30"/>
      <c r="B8" s="30">
        <v>800</v>
      </c>
      <c r="C8" s="68">
        <v>0.23</v>
      </c>
      <c r="D8" s="68">
        <v>0.26</v>
      </c>
      <c r="E8" s="69"/>
      <c r="F8" s="70"/>
      <c r="G8" s="70">
        <f t="shared" si="0"/>
        <v>0</v>
      </c>
      <c r="H8" s="68">
        <f>IF(E8=1,E8*C8,F8*D8)</f>
        <v>0</v>
      </c>
      <c r="I8" s="30"/>
    </row>
    <row r="9" spans="1:9" ht="12.75">
      <c r="A9" s="30"/>
      <c r="B9" s="30">
        <v>900</v>
      </c>
      <c r="C9" s="68">
        <v>0.27</v>
      </c>
      <c r="D9" s="68">
        <v>0.3</v>
      </c>
      <c r="E9" s="69"/>
      <c r="F9" s="70"/>
      <c r="G9" s="70">
        <f t="shared" si="0"/>
        <v>0</v>
      </c>
      <c r="H9" s="68">
        <f>IF(E9=1,E9*C9,F9*D9)</f>
        <v>0</v>
      </c>
      <c r="I9" s="30"/>
    </row>
    <row r="10" spans="1:9" ht="12.75">
      <c r="A10" s="30"/>
      <c r="B10" s="71"/>
      <c r="C10" s="72"/>
      <c r="D10" s="72"/>
      <c r="E10" s="73"/>
      <c r="F10" s="74"/>
      <c r="G10" s="72"/>
      <c r="H10" s="72"/>
      <c r="I10" s="30"/>
    </row>
    <row r="11" spans="1:9" ht="12.75">
      <c r="A11" s="30"/>
      <c r="B11" s="30">
        <v>1000</v>
      </c>
      <c r="C11" s="68">
        <v>0.3</v>
      </c>
      <c r="D11" s="68">
        <v>0.33</v>
      </c>
      <c r="E11" s="69"/>
      <c r="F11" s="70"/>
      <c r="G11" s="70">
        <f t="shared" si="0"/>
        <v>0</v>
      </c>
      <c r="H11" s="68">
        <f>IF(E11=1,E11*C11,F11*D11)</f>
        <v>0</v>
      </c>
      <c r="I11" s="30"/>
    </row>
    <row r="12" spans="1:9" ht="12.75">
      <c r="A12" s="30"/>
      <c r="B12" s="30">
        <v>1100</v>
      </c>
      <c r="C12" s="68">
        <v>0.34</v>
      </c>
      <c r="D12" s="68">
        <v>0.38</v>
      </c>
      <c r="E12" s="69"/>
      <c r="F12" s="70"/>
      <c r="G12" s="70">
        <f t="shared" si="0"/>
        <v>0</v>
      </c>
      <c r="H12" s="68">
        <f>IF(E12=1,E12*C12,F12*D12)</f>
        <v>0</v>
      </c>
      <c r="I12" s="30"/>
    </row>
    <row r="13" spans="1:9" ht="12.75">
      <c r="A13" s="30"/>
      <c r="B13" s="30">
        <v>1200</v>
      </c>
      <c r="C13" s="68">
        <v>0.38</v>
      </c>
      <c r="D13" s="68">
        <v>0.442</v>
      </c>
      <c r="E13" s="69"/>
      <c r="F13" s="70"/>
      <c r="G13" s="70">
        <f t="shared" si="0"/>
        <v>0</v>
      </c>
      <c r="H13" s="68">
        <f>IF(E13=1,E13*C13,F13*D13)</f>
        <v>0</v>
      </c>
      <c r="I13" s="30"/>
    </row>
    <row r="14" spans="1:9" ht="12.75">
      <c r="A14" s="30"/>
      <c r="B14" s="71"/>
      <c r="C14" s="72"/>
      <c r="D14" s="72"/>
      <c r="E14" s="73"/>
      <c r="F14" s="74"/>
      <c r="G14" s="72"/>
      <c r="H14" s="72"/>
      <c r="I14" s="30"/>
    </row>
    <row r="15" spans="1:9" ht="12.75">
      <c r="A15" s="30" t="s">
        <v>87</v>
      </c>
      <c r="B15" s="30">
        <v>1300</v>
      </c>
      <c r="C15" s="68">
        <v>0.44</v>
      </c>
      <c r="D15" s="68">
        <v>0.49</v>
      </c>
      <c r="E15" s="69"/>
      <c r="F15" s="70"/>
      <c r="G15" s="70">
        <f t="shared" si="0"/>
        <v>0</v>
      </c>
      <c r="H15" s="68">
        <f>IF(E15=1,E15*C15,F15*D15)</f>
        <v>0</v>
      </c>
      <c r="I15" s="30"/>
    </row>
    <row r="16" spans="1:9" ht="12.75">
      <c r="A16" s="30" t="s">
        <v>88</v>
      </c>
      <c r="B16" s="30">
        <v>1400</v>
      </c>
      <c r="C16" s="68">
        <v>0.51</v>
      </c>
      <c r="D16" s="68">
        <v>0.57</v>
      </c>
      <c r="E16" s="69"/>
      <c r="F16" s="70"/>
      <c r="G16" s="70">
        <f t="shared" si="0"/>
        <v>0</v>
      </c>
      <c r="H16" s="68">
        <f>IF(E16=1,E16*C16,F16*D16)</f>
        <v>0</v>
      </c>
      <c r="I16" s="30"/>
    </row>
    <row r="17" spans="1:9" ht="12.75">
      <c r="A17" s="30"/>
      <c r="B17" s="30">
        <v>1500</v>
      </c>
      <c r="C17" s="68">
        <v>0.59</v>
      </c>
      <c r="D17" s="68">
        <v>0.65</v>
      </c>
      <c r="E17" s="69"/>
      <c r="F17" s="70"/>
      <c r="G17" s="70">
        <f t="shared" si="0"/>
        <v>0</v>
      </c>
      <c r="H17" s="68">
        <f>IF(E17=1,E17*C17,F17*D17)</f>
        <v>0</v>
      </c>
      <c r="I17" s="30"/>
    </row>
    <row r="18" spans="1:9" ht="12.75">
      <c r="A18" s="30"/>
      <c r="B18" s="71"/>
      <c r="C18" s="72"/>
      <c r="D18" s="72"/>
      <c r="E18" s="73"/>
      <c r="F18" s="74"/>
      <c r="G18" s="72"/>
      <c r="H18" s="72"/>
      <c r="I18" s="30"/>
    </row>
    <row r="19" spans="1:9" ht="12.75">
      <c r="A19" s="30"/>
      <c r="B19" s="30">
        <v>1600</v>
      </c>
      <c r="C19" s="68">
        <v>0.66</v>
      </c>
      <c r="D19" s="68">
        <v>0.73</v>
      </c>
      <c r="E19" s="69"/>
      <c r="F19" s="70"/>
      <c r="G19" s="70">
        <f t="shared" si="0"/>
        <v>0</v>
      </c>
      <c r="H19" s="68">
        <f>IF(E19=1,E19*C19,F19*D19)</f>
        <v>0</v>
      </c>
      <c r="I19" s="30"/>
    </row>
    <row r="20" spans="1:9" ht="12.75">
      <c r="A20" s="30"/>
      <c r="B20" s="30">
        <v>1700</v>
      </c>
      <c r="C20" s="68">
        <v>0.76</v>
      </c>
      <c r="D20" s="68">
        <v>0.84</v>
      </c>
      <c r="E20" s="69"/>
      <c r="F20" s="70"/>
      <c r="G20" s="70">
        <f t="shared" si="0"/>
        <v>0</v>
      </c>
      <c r="H20" s="68">
        <f>IF(E20=1,E20*C20,F20*D20)</f>
        <v>0</v>
      </c>
      <c r="I20" s="30"/>
    </row>
    <row r="21" spans="1:9" ht="12.75">
      <c r="A21" s="30"/>
      <c r="B21" s="30">
        <v>1800</v>
      </c>
      <c r="C21" s="68">
        <v>0.87</v>
      </c>
      <c r="D21" s="68">
        <v>0.96</v>
      </c>
      <c r="E21" s="69"/>
      <c r="F21" s="70"/>
      <c r="G21" s="70">
        <f t="shared" si="0"/>
        <v>0</v>
      </c>
      <c r="H21" s="68">
        <f>IF(E21=1,E21*C21,F21*D21)</f>
        <v>0</v>
      </c>
      <c r="I21" s="30"/>
    </row>
    <row r="22" spans="1:9" ht="12.75">
      <c r="A22" s="30"/>
      <c r="B22" s="71"/>
      <c r="C22" s="72"/>
      <c r="D22" s="72"/>
      <c r="E22" s="73"/>
      <c r="F22" s="74"/>
      <c r="G22" s="72"/>
      <c r="H22" s="72"/>
      <c r="I22" s="30"/>
    </row>
    <row r="23" spans="1:9" ht="12.75">
      <c r="A23" s="30"/>
      <c r="B23" s="30">
        <v>1900</v>
      </c>
      <c r="C23" s="68">
        <v>0.99</v>
      </c>
      <c r="D23" s="68">
        <v>1.09</v>
      </c>
      <c r="E23" s="69"/>
      <c r="F23" s="70"/>
      <c r="G23" s="70">
        <f t="shared" si="0"/>
        <v>0</v>
      </c>
      <c r="H23" s="68">
        <f>IF(E23=1,E23*C23,F23*D23)</f>
        <v>0</v>
      </c>
      <c r="I23" s="30"/>
    </row>
    <row r="24" spans="1:9" ht="12.75">
      <c r="A24" s="30"/>
      <c r="B24" s="30">
        <v>2000</v>
      </c>
      <c r="C24" s="68">
        <v>1.13</v>
      </c>
      <c r="D24" s="68">
        <v>1.24</v>
      </c>
      <c r="E24" s="69"/>
      <c r="F24" s="70"/>
      <c r="G24" s="70">
        <f t="shared" si="0"/>
        <v>0</v>
      </c>
      <c r="H24" s="68">
        <f>IF(E24=1,E24*C24,F24*D24)</f>
        <v>0</v>
      </c>
      <c r="I24" s="30"/>
    </row>
    <row r="25" spans="1:9" ht="12.75">
      <c r="A25" s="30"/>
      <c r="B25" s="30">
        <v>2100</v>
      </c>
      <c r="C25" s="68">
        <v>1.28</v>
      </c>
      <c r="D25" s="68">
        <v>1.4</v>
      </c>
      <c r="E25" s="69"/>
      <c r="F25" s="70"/>
      <c r="G25" s="70">
        <f t="shared" si="0"/>
        <v>0</v>
      </c>
      <c r="H25" s="68">
        <f>IF(E25=1,E25*C25,F25*D25)</f>
        <v>0</v>
      </c>
      <c r="I25" s="30"/>
    </row>
    <row r="26" spans="1:9" ht="12.75">
      <c r="A26" s="30"/>
      <c r="B26" s="71"/>
      <c r="C26" s="72"/>
      <c r="D26" s="72"/>
      <c r="E26" s="73"/>
      <c r="F26" s="74"/>
      <c r="G26" s="72"/>
      <c r="H26" s="72"/>
      <c r="I26" s="30"/>
    </row>
    <row r="27" spans="1:9" ht="12.75">
      <c r="A27" s="30"/>
      <c r="B27" s="30">
        <v>2200</v>
      </c>
      <c r="C27" s="68">
        <v>1.45</v>
      </c>
      <c r="D27" s="68">
        <v>1.6</v>
      </c>
      <c r="E27" s="69"/>
      <c r="F27" s="70"/>
      <c r="G27" s="70">
        <f t="shared" si="0"/>
        <v>0</v>
      </c>
      <c r="H27" s="68">
        <f>IF(E27=1,E27*C27,F27*D27)</f>
        <v>0</v>
      </c>
      <c r="I27" s="30"/>
    </row>
    <row r="28" spans="1:9" ht="12.75">
      <c r="A28" s="30"/>
      <c r="B28" s="30">
        <v>2300</v>
      </c>
      <c r="C28" s="68">
        <v>1.63</v>
      </c>
      <c r="D28" s="68">
        <v>1.8</v>
      </c>
      <c r="E28" s="69"/>
      <c r="F28" s="70"/>
      <c r="G28" s="70">
        <f t="shared" si="0"/>
        <v>0</v>
      </c>
      <c r="H28" s="68">
        <f>IF(E28=1,E28*C28,F28*D28)</f>
        <v>0</v>
      </c>
      <c r="I28" s="30"/>
    </row>
    <row r="29" spans="1:9" ht="12.75">
      <c r="A29" s="30"/>
      <c r="B29" s="30">
        <v>2400</v>
      </c>
      <c r="C29" s="68">
        <v>1.83</v>
      </c>
      <c r="D29" s="68">
        <v>2</v>
      </c>
      <c r="E29" s="69"/>
      <c r="F29" s="70"/>
      <c r="G29" s="70">
        <f t="shared" si="0"/>
        <v>0</v>
      </c>
      <c r="H29" s="68">
        <f>IF(E29=1,E29*C29,F29*D29)</f>
        <v>0</v>
      </c>
      <c r="I29" s="30"/>
    </row>
    <row r="30" spans="1:9" ht="12.75">
      <c r="A30" s="30"/>
      <c r="B30" s="30"/>
      <c r="C30" s="68"/>
      <c r="D30" s="68"/>
      <c r="E30" s="81"/>
      <c r="F30" s="81"/>
      <c r="G30" s="193" t="s">
        <v>89</v>
      </c>
      <c r="H30" s="194"/>
      <c r="I30" s="30"/>
    </row>
    <row r="31" spans="1:9" ht="12.75">
      <c r="A31" s="30"/>
      <c r="E31" s="82"/>
      <c r="F31" s="82"/>
      <c r="G31" s="164">
        <f>SUM(G3:G29)</f>
        <v>0</v>
      </c>
      <c r="H31" s="164">
        <f>SUM(H3:H29)</f>
        <v>0</v>
      </c>
      <c r="I31" s="30"/>
    </row>
    <row r="32" spans="1:9" ht="12.75">
      <c r="A32" s="75"/>
      <c r="B32" s="75"/>
      <c r="C32" s="76"/>
      <c r="D32" s="76"/>
      <c r="E32" s="77"/>
      <c r="F32" s="78"/>
      <c r="G32" s="78"/>
      <c r="H32" s="76"/>
      <c r="I32" s="75"/>
    </row>
    <row r="33" spans="1:9" ht="57.75" customHeight="1">
      <c r="A33" s="112" t="s">
        <v>78</v>
      </c>
      <c r="B33" s="112" t="s">
        <v>79</v>
      </c>
      <c r="C33" s="113" t="s">
        <v>90</v>
      </c>
      <c r="D33" s="113"/>
      <c r="E33" s="199" t="s">
        <v>231</v>
      </c>
      <c r="F33" s="200"/>
      <c r="G33" s="161" t="s">
        <v>237</v>
      </c>
      <c r="H33" s="114" t="str">
        <f>IF(E47+F47=1,"Therml. Conduct. W/m2oC","ERROR - ERROR - ERROR!!")</f>
        <v>ERROR - ERROR - ERROR!!</v>
      </c>
      <c r="I33" s="115" t="s">
        <v>84</v>
      </c>
    </row>
    <row r="34" spans="1:9" ht="12.75">
      <c r="A34" s="44"/>
      <c r="B34" s="44"/>
      <c r="C34" s="64" t="s">
        <v>81</v>
      </c>
      <c r="D34" s="64" t="s">
        <v>82</v>
      </c>
      <c r="E34" s="65" t="s">
        <v>81</v>
      </c>
      <c r="F34" s="66" t="s">
        <v>82</v>
      </c>
      <c r="G34" s="139"/>
      <c r="H34" s="116" t="s">
        <v>83</v>
      </c>
      <c r="I34" s="30"/>
    </row>
    <row r="35" spans="1:9" ht="12.75">
      <c r="A35" s="30"/>
      <c r="B35" s="30">
        <v>1200</v>
      </c>
      <c r="C35" s="68">
        <v>0.31</v>
      </c>
      <c r="D35" s="68">
        <v>0.42</v>
      </c>
      <c r="E35" s="69"/>
      <c r="F35" s="70"/>
      <c r="G35" s="70">
        <f aca="true" t="shared" si="1" ref="G35:G45">(F35*B35)+(E35*B35)</f>
        <v>0</v>
      </c>
      <c r="H35" s="68">
        <f>IF(E35=1,E35*C35,F35*D35)</f>
        <v>0</v>
      </c>
      <c r="I35" s="30"/>
    </row>
    <row r="36" spans="1:9" ht="12.75">
      <c r="A36" s="88" t="s">
        <v>91</v>
      </c>
      <c r="B36" s="30">
        <v>1300</v>
      </c>
      <c r="C36" s="68">
        <v>0.36</v>
      </c>
      <c r="D36" s="68">
        <v>0.49</v>
      </c>
      <c r="E36" s="69"/>
      <c r="F36" s="70"/>
      <c r="G36" s="70">
        <f t="shared" si="1"/>
        <v>0</v>
      </c>
      <c r="H36" s="68">
        <f>IF(E36=1,E36*C36,F36*D36)</f>
        <v>0</v>
      </c>
      <c r="I36" s="30"/>
    </row>
    <row r="37" spans="1:9" ht="12.75">
      <c r="A37" s="88" t="s">
        <v>92</v>
      </c>
      <c r="B37" s="30">
        <v>1400</v>
      </c>
      <c r="C37" s="68">
        <v>0.42</v>
      </c>
      <c r="D37" s="68">
        <v>0.57</v>
      </c>
      <c r="E37" s="69"/>
      <c r="F37" s="70"/>
      <c r="G37" s="70">
        <f t="shared" si="1"/>
        <v>0</v>
      </c>
      <c r="H37" s="68">
        <f>IF(E37=1,E37*C37,F37*D37)</f>
        <v>0</v>
      </c>
      <c r="I37" s="30"/>
    </row>
    <row r="38" spans="1:9" ht="12.75">
      <c r="A38" s="30"/>
      <c r="B38" s="71"/>
      <c r="C38" s="72"/>
      <c r="D38" s="72"/>
      <c r="E38" s="73"/>
      <c r="F38" s="74"/>
      <c r="G38" s="74"/>
      <c r="H38" s="72"/>
      <c r="I38" s="30"/>
    </row>
    <row r="39" spans="1:9" ht="12.75">
      <c r="A39" s="30"/>
      <c r="B39" s="30">
        <v>1500</v>
      </c>
      <c r="C39" s="68">
        <v>0.48</v>
      </c>
      <c r="D39" s="68">
        <v>0.65</v>
      </c>
      <c r="E39" s="69"/>
      <c r="F39" s="70"/>
      <c r="G39" s="70">
        <f t="shared" si="1"/>
        <v>0</v>
      </c>
      <c r="H39" s="68">
        <f>IF(E39=1,E39*C39,F39*D39)</f>
        <v>0</v>
      </c>
      <c r="I39" s="30"/>
    </row>
    <row r="40" spans="1:9" ht="12.75">
      <c r="A40" s="30" t="s">
        <v>93</v>
      </c>
      <c r="B40" s="30">
        <v>1600</v>
      </c>
      <c r="C40" s="68">
        <v>0.54</v>
      </c>
      <c r="D40" s="68">
        <v>0.73</v>
      </c>
      <c r="E40" s="69"/>
      <c r="F40" s="70"/>
      <c r="G40" s="70">
        <f t="shared" si="1"/>
        <v>0</v>
      </c>
      <c r="H40" s="68">
        <f>IF(E40=1,E40*C40,F40*D40)</f>
        <v>0</v>
      </c>
      <c r="I40" s="30"/>
    </row>
    <row r="41" spans="1:9" ht="12.75">
      <c r="A41" s="30" t="s">
        <v>94</v>
      </c>
      <c r="B41" s="30">
        <v>1700</v>
      </c>
      <c r="C41" s="68">
        <v>0.62</v>
      </c>
      <c r="D41" s="68">
        <v>0.84</v>
      </c>
      <c r="E41" s="69"/>
      <c r="F41" s="70"/>
      <c r="G41" s="70">
        <f t="shared" si="1"/>
        <v>0</v>
      </c>
      <c r="H41" s="68">
        <f>IF(E41=1,E41*C41,F41*D41)</f>
        <v>0</v>
      </c>
      <c r="I41" s="30"/>
    </row>
    <row r="42" spans="1:9" ht="12.75">
      <c r="A42" s="30"/>
      <c r="B42" s="71"/>
      <c r="C42" s="72"/>
      <c r="D42" s="72"/>
      <c r="E42" s="73"/>
      <c r="F42" s="74"/>
      <c r="G42" s="74"/>
      <c r="H42" s="72"/>
      <c r="I42" s="30"/>
    </row>
    <row r="43" spans="1:9" ht="12.75">
      <c r="A43" s="30"/>
      <c r="B43" s="30">
        <v>1800</v>
      </c>
      <c r="C43" s="68">
        <v>0.71</v>
      </c>
      <c r="D43" s="68">
        <v>0.96</v>
      </c>
      <c r="E43" s="69"/>
      <c r="F43" s="70"/>
      <c r="G43" s="70">
        <f t="shared" si="1"/>
        <v>0</v>
      </c>
      <c r="H43" s="68">
        <f>IF(E43=1,E43*C43,F43*D43)</f>
        <v>0</v>
      </c>
      <c r="I43" s="30"/>
    </row>
    <row r="44" spans="1:9" ht="12.75">
      <c r="A44" s="30"/>
      <c r="B44" s="30">
        <v>1900</v>
      </c>
      <c r="C44" s="68">
        <v>0.81</v>
      </c>
      <c r="D44" s="68">
        <v>1.09</v>
      </c>
      <c r="E44" s="69"/>
      <c r="F44" s="70"/>
      <c r="G44" s="70">
        <f t="shared" si="1"/>
        <v>0</v>
      </c>
      <c r="H44" s="68">
        <f>IF(E44=1,E44*C44,F44*D44)</f>
        <v>0</v>
      </c>
      <c r="I44" s="30"/>
    </row>
    <row r="45" spans="1:9" ht="12.75">
      <c r="A45" s="30"/>
      <c r="B45" s="30">
        <v>2000</v>
      </c>
      <c r="C45" s="68">
        <v>0.92</v>
      </c>
      <c r="D45" s="68">
        <v>1.24</v>
      </c>
      <c r="E45" s="69"/>
      <c r="F45" s="70"/>
      <c r="G45" s="70">
        <f t="shared" si="1"/>
        <v>0</v>
      </c>
      <c r="H45" s="68">
        <f>IF(E45=1,E45*C45,F45*D45)</f>
        <v>0</v>
      </c>
      <c r="I45" s="30"/>
    </row>
    <row r="46" spans="1:9" ht="13.5" thickBot="1">
      <c r="A46" s="11"/>
      <c r="B46" s="11"/>
      <c r="C46" s="11"/>
      <c r="D46" s="11"/>
      <c r="E46" s="74"/>
      <c r="F46" s="74"/>
      <c r="G46" s="195" t="s">
        <v>89</v>
      </c>
      <c r="H46" s="196"/>
      <c r="I46" s="11"/>
    </row>
    <row r="47" spans="1:9" ht="13.5" thickBot="1">
      <c r="A47" s="11"/>
      <c r="B47" s="11"/>
      <c r="C47" s="11"/>
      <c r="D47" s="11"/>
      <c r="E47" s="74">
        <f>SUM(E3:E46)</f>
        <v>0</v>
      </c>
      <c r="F47" s="74">
        <f>SUM(F3:F46)</f>
        <v>0</v>
      </c>
      <c r="G47" s="79">
        <f>SUM(G35:G45)</f>
        <v>0</v>
      </c>
      <c r="H47" s="79">
        <f>SUM(H35:H45)</f>
        <v>0</v>
      </c>
      <c r="I47" s="11"/>
    </row>
    <row r="48" spans="1:9" ht="12">
      <c r="A48" s="80"/>
      <c r="B48" s="80"/>
      <c r="C48" s="80"/>
      <c r="D48" s="80"/>
      <c r="E48" s="80"/>
      <c r="F48" s="80"/>
      <c r="G48" s="80"/>
      <c r="H48" s="80"/>
      <c r="I48" s="80"/>
    </row>
  </sheetData>
  <mergeCells count="4">
    <mergeCell ref="E1:F1"/>
    <mergeCell ref="G30:H30"/>
    <mergeCell ref="E33:F33"/>
    <mergeCell ref="G46:H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46" sqref="A46"/>
    </sheetView>
  </sheetViews>
  <sheetFormatPr defaultColWidth="9.00390625" defaultRowHeight="12.75"/>
  <cols>
    <col min="9" max="9" width="12.25390625" style="0" customWidth="1"/>
  </cols>
  <sheetData>
    <row r="1" spans="7:8" ht="12.75">
      <c r="G1" s="156"/>
      <c r="H1" s="49"/>
    </row>
    <row r="2" spans="1:2" s="23" customFormat="1" ht="12.75">
      <c r="A2" s="53" t="s">
        <v>34</v>
      </c>
      <c r="B2" s="23" t="s">
        <v>35</v>
      </c>
    </row>
    <row r="3" s="23" customFormat="1" ht="12.75">
      <c r="A3" s="14"/>
    </row>
    <row r="4" s="23" customFormat="1" ht="12.75">
      <c r="A4" s="53" t="s">
        <v>36</v>
      </c>
    </row>
    <row r="5" s="23" customFormat="1" ht="12.75">
      <c r="A5" s="14" t="s">
        <v>37</v>
      </c>
    </row>
    <row r="6" s="23" customFormat="1" ht="12.75">
      <c r="A6" s="14" t="s">
        <v>224</v>
      </c>
    </row>
    <row r="7" s="23" customFormat="1" ht="12.75">
      <c r="A7" s="14"/>
    </row>
    <row r="8" s="23" customFormat="1" ht="12.75">
      <c r="A8" s="53" t="s">
        <v>38</v>
      </c>
    </row>
    <row r="9" s="23" customFormat="1" ht="12.75">
      <c r="A9" s="14" t="s">
        <v>39</v>
      </c>
    </row>
    <row r="10" s="23" customFormat="1" ht="12.75">
      <c r="A10" s="14" t="s">
        <v>40</v>
      </c>
    </row>
    <row r="11" s="23" customFormat="1" ht="12.75">
      <c r="A11" s="14" t="s">
        <v>41</v>
      </c>
    </row>
    <row r="12" s="23" customFormat="1" ht="12.75">
      <c r="A12" s="14" t="s">
        <v>42</v>
      </c>
    </row>
    <row r="13" s="23" customFormat="1" ht="12.75">
      <c r="A13" s="14" t="s">
        <v>43</v>
      </c>
    </row>
    <row r="14" s="23" customFormat="1" ht="12.75">
      <c r="A14" s="14"/>
    </row>
    <row r="15" s="23" customFormat="1" ht="12.75">
      <c r="A15" s="53" t="s">
        <v>44</v>
      </c>
    </row>
    <row r="16" s="23" customFormat="1" ht="12.75">
      <c r="A16" s="14" t="s">
        <v>45</v>
      </c>
    </row>
    <row r="17" s="23" customFormat="1" ht="12.75">
      <c r="A17" s="14" t="s">
        <v>46</v>
      </c>
    </row>
    <row r="18" s="23" customFormat="1" ht="12.75">
      <c r="A18" s="14" t="s">
        <v>47</v>
      </c>
    </row>
    <row r="19" s="23" customFormat="1" ht="12.75">
      <c r="A19" s="14" t="s">
        <v>48</v>
      </c>
    </row>
    <row r="20" s="23" customFormat="1" ht="12.75">
      <c r="A20" s="14" t="s">
        <v>49</v>
      </c>
    </row>
    <row r="21" s="23" customFormat="1" ht="12.75">
      <c r="A21" s="14" t="s">
        <v>225</v>
      </c>
    </row>
    <row r="22" s="23" customFormat="1" ht="12.75">
      <c r="A22" s="14"/>
    </row>
    <row r="23" s="23" customFormat="1" ht="12.75">
      <c r="A23" s="53" t="s">
        <v>50</v>
      </c>
    </row>
    <row r="24" s="23" customFormat="1" ht="12.75">
      <c r="A24" s="14" t="s">
        <v>51</v>
      </c>
    </row>
    <row r="25" s="23" customFormat="1" ht="12.75">
      <c r="A25" s="14" t="s">
        <v>52</v>
      </c>
    </row>
    <row r="26" s="23" customFormat="1" ht="12.75">
      <c r="A26" s="14"/>
    </row>
    <row r="27" s="23" customFormat="1" ht="12.75">
      <c r="A27" s="53" t="s">
        <v>53</v>
      </c>
    </row>
    <row r="28" s="23" customFormat="1" ht="12.75">
      <c r="A28" s="14" t="s">
        <v>54</v>
      </c>
    </row>
    <row r="29" s="23" customFormat="1" ht="12.75">
      <c r="A29" s="14" t="s">
        <v>55</v>
      </c>
    </row>
    <row r="30" s="23" customFormat="1" ht="12.75">
      <c r="A30" s="14" t="s">
        <v>56</v>
      </c>
    </row>
    <row r="31" s="23" customFormat="1" ht="12.75">
      <c r="A31" s="14" t="s">
        <v>57</v>
      </c>
    </row>
    <row r="32" s="23" customFormat="1" ht="12.75">
      <c r="A32" s="14" t="s">
        <v>58</v>
      </c>
    </row>
    <row r="33" s="23" customFormat="1" ht="12.75">
      <c r="A33" s="14" t="s">
        <v>59</v>
      </c>
    </row>
    <row r="34" s="23" customFormat="1" ht="12.75">
      <c r="A34" s="14" t="s">
        <v>60</v>
      </c>
    </row>
    <row r="35" s="23" customFormat="1" ht="12.75">
      <c r="A35" s="14" t="s">
        <v>61</v>
      </c>
    </row>
    <row r="36" s="23" customFormat="1" ht="12.75">
      <c r="A36" s="14" t="s">
        <v>62</v>
      </c>
    </row>
    <row r="37" s="23" customFormat="1" ht="12.75">
      <c r="A37" s="14" t="s">
        <v>226</v>
      </c>
    </row>
    <row r="38" s="23" customFormat="1" ht="12.75">
      <c r="A38" s="14" t="s">
        <v>63</v>
      </c>
    </row>
    <row r="39" s="23" customFormat="1" ht="12.75">
      <c r="A39" s="14" t="s">
        <v>64</v>
      </c>
    </row>
    <row r="40" s="23" customFormat="1" ht="12.75"/>
    <row r="41" s="23" customFormat="1" ht="12.75">
      <c r="A41" s="102" t="s">
        <v>65</v>
      </c>
    </row>
    <row r="42" s="23" customFormat="1" ht="12.75">
      <c r="A42" s="34" t="s">
        <v>66</v>
      </c>
    </row>
    <row r="43" s="23" customFormat="1" ht="12.75">
      <c r="A43" s="34" t="s">
        <v>67</v>
      </c>
    </row>
    <row r="44" s="23" customFormat="1" ht="12.75">
      <c r="A44" s="34" t="s">
        <v>68</v>
      </c>
    </row>
    <row r="45" s="23" customFormat="1" ht="12.75">
      <c r="A45" s="34" t="s">
        <v>233</v>
      </c>
    </row>
    <row r="46" s="23" customFormat="1" ht="12.75">
      <c r="A46" s="34"/>
    </row>
    <row r="47" s="23" customFormat="1" ht="12.75">
      <c r="A47" s="34"/>
    </row>
    <row r="48" s="23" customFormat="1" ht="12.75">
      <c r="A48" s="34"/>
    </row>
    <row r="49" s="23" customFormat="1" ht="12.75">
      <c r="A49" s="34" t="s">
        <v>234</v>
      </c>
    </row>
    <row r="50" s="23" customFormat="1" ht="12.75">
      <c r="A50" s="102" t="s">
        <v>69</v>
      </c>
    </row>
    <row r="51" s="23" customFormat="1" ht="12.75">
      <c r="A51" s="34" t="s">
        <v>70</v>
      </c>
    </row>
    <row r="52" s="23" customFormat="1" ht="12.75">
      <c r="A52" s="103" t="s">
        <v>227</v>
      </c>
    </row>
    <row r="53" s="23" customFormat="1" ht="12.75">
      <c r="A53" s="103" t="s">
        <v>71</v>
      </c>
    </row>
    <row r="54" s="23" customFormat="1" ht="12.75">
      <c r="A54" s="34" t="s">
        <v>72</v>
      </c>
    </row>
    <row r="55" s="23" customFormat="1" ht="12.75">
      <c r="A55" s="103" t="s">
        <v>73</v>
      </c>
    </row>
    <row r="56" s="23" customFormat="1" ht="12.75">
      <c r="A56" s="103" t="s">
        <v>74</v>
      </c>
    </row>
    <row r="57" s="23" customFormat="1" ht="12.75">
      <c r="A57" s="34" t="s">
        <v>75</v>
      </c>
    </row>
    <row r="58" s="23" customFormat="1" ht="12.75">
      <c r="A58" s="34" t="s">
        <v>76</v>
      </c>
    </row>
    <row r="59" s="23" customFormat="1" ht="12.75">
      <c r="A59" s="34" t="s">
        <v>77</v>
      </c>
    </row>
    <row r="60" s="23" customFormat="1" ht="12.75">
      <c r="A60" s="34"/>
    </row>
    <row r="61" s="23" customFormat="1" ht="12.75">
      <c r="A61" s="173" t="s">
        <v>248</v>
      </c>
    </row>
    <row r="62" s="23" customFormat="1" ht="12.75">
      <c r="A62" s="14" t="s">
        <v>249</v>
      </c>
    </row>
    <row r="63" s="23" customFormat="1" ht="12.75">
      <c r="A63" s="14" t="s">
        <v>250</v>
      </c>
    </row>
    <row r="64" s="23" customFormat="1" ht="12.75">
      <c r="A64" s="14" t="s">
        <v>251</v>
      </c>
    </row>
    <row r="65" s="23" customFormat="1" ht="12.75">
      <c r="A65" s="14" t="s">
        <v>252</v>
      </c>
    </row>
    <row r="66" s="23" customFormat="1" ht="12.75">
      <c r="A66" s="14" t="s">
        <v>253</v>
      </c>
    </row>
    <row r="67" s="23" customFormat="1" ht="12.75">
      <c r="A67" s="14" t="s">
        <v>254</v>
      </c>
    </row>
    <row r="68" s="23" customFormat="1" ht="12.75">
      <c r="A68" s="14" t="s">
        <v>255</v>
      </c>
    </row>
    <row r="69" s="23" customFormat="1" ht="12.75">
      <c r="A69" s="14" t="s">
        <v>256</v>
      </c>
    </row>
    <row r="70" s="23" customFormat="1" ht="12.75">
      <c r="A70" s="14" t="s">
        <v>257</v>
      </c>
    </row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</sheetData>
  <printOptions gridLines="1"/>
  <pageMargins left="0.75" right="0.75" top="1" bottom="1" header="0.5" footer="0.5"/>
  <pageSetup horizontalDpi="300" verticalDpi="300" orientation="portrait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Select Agreement 71-</dc:creator>
  <cp:keywords/>
  <dc:description/>
  <cp:lastModifiedBy>hborrie</cp:lastModifiedBy>
  <cp:lastPrinted>2004-08-10T19:09:06Z</cp:lastPrinted>
  <dcterms:created xsi:type="dcterms:W3CDTF">2004-03-11T20:42:57Z</dcterms:created>
  <dcterms:modified xsi:type="dcterms:W3CDTF">2006-02-08T17:09:35Z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